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6485" windowHeight="10035" tabRatio="710" activeTab="0"/>
  </bookViews>
  <sheets>
    <sheet name="INPUT" sheetId="1" r:id="rId1"/>
    <sheet name="RAW" sheetId="2" state="hidden" r:id="rId2"/>
    <sheet name="CNTNR COST" sheetId="3" state="hidden" r:id="rId3"/>
    <sheet name="DETAIL" sheetId="4" state="hidden" r:id="rId4"/>
    <sheet name="SCHEDULES" sheetId="5" r:id="rId5"/>
  </sheets>
  <definedNames>
    <definedName name="CL_I_BF_RATE">'INPUT'!$B$6</definedName>
    <definedName name="CL_I_SKIM_RATE">'INPUT'!$B$5</definedName>
    <definedName name="CL_II_BF_RATE">'INPUT'!$B$8</definedName>
    <definedName name="CL_II_SKIM_RATE">'INPUT'!$B$7</definedName>
    <definedName name="COST_UPDATE_ADJ">'INPUT'!$B$34</definedName>
    <definedName name="cpi">'INPUT'!$B$9</definedName>
    <definedName name="CREAM_ADDON">'INPUT'!$B$54</definedName>
    <definedName name="CREAMER_ADDON">'INPUT'!$B$53</definedName>
    <definedName name="DISP_CTNR_CST">'INPUT'!$B$22</definedName>
    <definedName name="Energy_Addon">'INPUT'!$B$10</definedName>
    <definedName name="FOURoz_CTNR_CST">'INPUT'!$B$21</definedName>
    <definedName name="GAL_CTNR_CST">'INPUT'!$B$13</definedName>
    <definedName name="H_AND_H_ADDON">'INPUT'!$B$52</definedName>
    <definedName name="HGAL_CTNR_COST">'INPUT'!$B$14</definedName>
    <definedName name="HPT_CTNR_CST">'INPUT'!$B$19</definedName>
    <definedName name="_xlnm.Print_Area" localSheetId="2">'CNTNR COST'!$C$4:$I$143</definedName>
    <definedName name="_xlnm.Print_Area" localSheetId="3">'DETAIL'!$C$8:$V$145</definedName>
    <definedName name="_xlnm.Print_Area" localSheetId="0">'INPUT'!$A$1:$G$81</definedName>
    <definedName name="_xlnm.Print_Area" localSheetId="4">'SCHEDULES'!$A$1:$M$74</definedName>
    <definedName name="_xlnm.Print_Titles" localSheetId="2">'CNTNR COST'!$1:$3</definedName>
    <definedName name="_xlnm.Print_Titles" localSheetId="3">'DETAIL'!$1:$7</definedName>
    <definedName name="PROCESS_CST">'INPUT'!$B$30</definedName>
    <definedName name="PROFIT">'INPUT'!$B$57</definedName>
    <definedName name="PT_CTNR_CST">'INPUT'!$B$16</definedName>
    <definedName name="QT_CTNR_CST">'INPUT'!$B$15</definedName>
    <definedName name="SC_ADDON">'INPUT'!$B$55</definedName>
    <definedName name="SCHEDULE_1">'SCHEDULES'!$A$1:$M$35</definedName>
    <definedName name="SCHEDULE_2">'SCHEDULES'!$A$38:$M$73</definedName>
    <definedName name="TENoz_CTNRCST">'INPUT'!$B$18</definedName>
    <definedName name="Z_6749BBA2_7883_11D2_AC8B_00A0247DF0CD_.wvu.PrintArea" localSheetId="2" hidden="1">'CNTNR COST'!$C$4:$I$143</definedName>
    <definedName name="Z_6749BBA2_7883_11D2_AC8B_00A0247DF0CD_.wvu.PrintArea" localSheetId="3" hidden="1">'DETAIL'!$C$8:$T$145</definedName>
    <definedName name="Z_6749BBA2_7883_11D2_AC8B_00A0247DF0CD_.wvu.PrintArea" localSheetId="4" hidden="1">'SCHEDULES'!$A$38:$M$73</definedName>
    <definedName name="Z_6749BBA2_7883_11D2_AC8B_00A0247DF0CD_.wvu.PrintTitles" localSheetId="2" hidden="1">'CNTNR COST'!$1:$3</definedName>
    <definedName name="Z_6749BBA2_7883_11D2_AC8B_00A0247DF0CD_.wvu.PrintTitles" localSheetId="3" hidden="1">'DETAIL'!$1:$7</definedName>
  </definedNames>
  <calcPr fullCalcOnLoad="1"/>
</workbook>
</file>

<file path=xl/comments1.xml><?xml version="1.0" encoding="utf-8"?>
<comments xmlns="http://schemas.openxmlformats.org/spreadsheetml/2006/main">
  <authors>
    <author>Cliff Ackman</author>
  </authors>
  <commentList>
    <comment ref="B9" authorId="0">
      <text>
        <r>
          <rPr>
            <sz val="8"/>
            <rFont val="Tahoma"/>
            <family val="2"/>
          </rPr>
          <t>most recent CPI available.</t>
        </r>
      </text>
    </comment>
  </commentList>
</comments>
</file>

<file path=xl/sharedStrings.xml><?xml version="1.0" encoding="utf-8"?>
<sst xmlns="http://schemas.openxmlformats.org/spreadsheetml/2006/main" count="587" uniqueCount="205">
  <si>
    <t>DATA INPUT AREAS IN YELLOW CELLS</t>
  </si>
  <si>
    <t>&lt;</t>
  </si>
  <si>
    <t>Enter MONTH and YEAR</t>
  </si>
  <si>
    <t>TO PRINT SCHEDULES</t>
  </si>
  <si>
    <t>Go to "SCHEDULES" worksheet.</t>
  </si>
  <si>
    <t>Press "Ctrl P, Enter" to print Schedules I and II</t>
  </si>
  <si>
    <t>Enter number with 2 decimal places</t>
  </si>
  <si>
    <t>Energy Addon</t>
  </si>
  <si>
    <t>CURRENT</t>
  </si>
  <si>
    <t>STAFF</t>
  </si>
  <si>
    <t>PROCESSING COST</t>
  </si>
  <si>
    <t>CONTAINER COSTS</t>
  </si>
  <si>
    <t>GALLON</t>
  </si>
  <si>
    <t>HALFGALLON</t>
  </si>
  <si>
    <t>QUART</t>
  </si>
  <si>
    <t>PINT</t>
  </si>
  <si>
    <t>HALF PINT</t>
  </si>
  <si>
    <t xml:space="preserve">4oz </t>
  </si>
  <si>
    <t>DISPENSER</t>
  </si>
  <si>
    <t>INGREDIENT COST</t>
  </si>
  <si>
    <t>STANDARD</t>
  </si>
  <si>
    <t>TWO PERCENT</t>
  </si>
  <si>
    <t>ONE PERCENT</t>
  </si>
  <si>
    <t>SKIM</t>
  </si>
  <si>
    <t>FLAVORED MILK</t>
  </si>
  <si>
    <t>FLAVORED MILK DRINK</t>
  </si>
  <si>
    <t>BUTTERMILK</t>
  </si>
  <si>
    <t>CREAM ADD-ONS</t>
  </si>
  <si>
    <t>HALF &amp; HALF ADD-ON</t>
  </si>
  <si>
    <t>CREAMER ADD-ON</t>
  </si>
  <si>
    <t>CREAM ADD-ON</t>
  </si>
  <si>
    <t>SOUR CREAM ADD-ON</t>
  </si>
  <si>
    <t>PROFIT</t>
  </si>
  <si>
    <t>PENNSYLVANIA MILK MARKETING BOARD</t>
  </si>
  <si>
    <t>COMPUTATION OF RAW PRODUCT COST</t>
  </si>
  <si>
    <t>TOTAL</t>
  </si>
  <si>
    <t>BUTTERFAT</t>
  </si>
  <si>
    <t xml:space="preserve">SKIM </t>
  </si>
  <si>
    <t>COST PER</t>
  </si>
  <si>
    <t>POUNDS</t>
  </si>
  <si>
    <t>COST</t>
  </si>
  <si>
    <t>POUND</t>
  </si>
  <si>
    <t>REDUCED FAT MILK, 2% MILKFAT</t>
  </si>
  <si>
    <t>LOW FAT MILK, 1% MILKFAT</t>
  </si>
  <si>
    <t>NONFAT MILK</t>
  </si>
  <si>
    <t>FLAVORED REDUCED FAT MILK</t>
  </si>
  <si>
    <t>PERCENT</t>
  </si>
  <si>
    <t>HALF &amp; HALF (MIXED MILK)</t>
  </si>
  <si>
    <t>MEDIUM CREAM</t>
  </si>
  <si>
    <t>HEAVY CREAM</t>
  </si>
  <si>
    <t>POUNDS PER</t>
  </si>
  <si>
    <t>RAW MILK</t>
  </si>
  <si>
    <t>CONTAINER</t>
  </si>
  <si>
    <t>PROCESSING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</si>
  <si>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</si>
  <si>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</si>
  <si>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</si>
  <si>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</si>
  <si>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</si>
  <si>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</si>
  <si>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</si>
  <si>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</si>
  <si>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</si>
  <si>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</si>
  <si>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</si>
  <si>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</si>
  <si>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AVERAGE</t>
  </si>
  <si>
    <t>CREAM FIXED</t>
  </si>
  <si>
    <t>PRICE</t>
  </si>
  <si>
    <t>SMALL</t>
  </si>
  <si>
    <t>DELIVERED</t>
  </si>
  <si>
    <t>ADD-ON</t>
  </si>
  <si>
    <t>WHOLESALE</t>
  </si>
  <si>
    <t>WITH</t>
  </si>
  <si>
    <t>DELIVERY</t>
  </si>
  <si>
    <t>FACTOR</t>
  </si>
  <si>
    <t>ADJUST.</t>
  </si>
  <si>
    <t>RETAIL</t>
  </si>
  <si>
    <t>DISP./QT.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</si>
  <si>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</si>
  <si>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</si>
  <si>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</si>
  <si>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</si>
  <si>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</si>
  <si>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</si>
  <si>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</si>
  <si>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</si>
  <si>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</si>
  <si>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</si>
  <si>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</si>
  <si>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</si>
  <si>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</si>
  <si>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>GAL. /1/</t>
  </si>
  <si>
    <t xml:space="preserve">/2/   </t>
  </si>
  <si>
    <t>4 OZ.</t>
  </si>
  <si>
    <t>STANDARD MILK</t>
  </si>
  <si>
    <t>LOWFAT MILK, 1% MILKFAT</t>
  </si>
  <si>
    <t>MIXED MILK /3/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</si>
  <si>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</si>
  <si>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</si>
  <si>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</si>
  <si>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</si>
  <si>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</si>
  <si>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</si>
  <si>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         ADD $.02 PER QT. EQUIVALENT TO ESTABLISH RETAIL PRICES ON SCHEDULE II.</t>
  </si>
  <si>
    <t>MINIMUM RETAIL OUT-OF-STORE (CASH AND CARRY)</t>
  </si>
  <si>
    <t>SCHEDULE II /4/</t>
  </si>
  <si>
    <t xml:space="preserve">               </t>
  </si>
  <si>
    <t xml:space="preserve">     RANGE</t>
  </si>
  <si>
    <t xml:space="preserve">MIXED MILK </t>
  </si>
  <si>
    <t>SOUR CREAM /3/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</si>
  <si>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</si>
  <si>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</si>
  <si>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SOUR CREAM - </t>
  </si>
  <si>
    <t xml:space="preserve">  5 LBS.  -</t>
  </si>
  <si>
    <t>10 LBS.  -</t>
  </si>
  <si>
    <t>SOUTHEASTERN MILK MARKETING AREA,  AREA NO. 3</t>
  </si>
  <si>
    <t>Ingredient</t>
  </si>
  <si>
    <t>Cost</t>
  </si>
  <si>
    <t>AREA 3 RESALE PRICE BUILD-UP</t>
  </si>
  <si>
    <t>Class I</t>
  </si>
  <si>
    <t>Class II</t>
  </si>
  <si>
    <t>Skim Rate</t>
  </si>
  <si>
    <t>Butterfat Rate</t>
  </si>
  <si>
    <t>Cost per</t>
  </si>
  <si>
    <t>Pound</t>
  </si>
  <si>
    <t>Bulk</t>
  </si>
  <si>
    <t>Costs</t>
  </si>
  <si>
    <t>Container Efficiency Adjustment</t>
  </si>
  <si>
    <t>Gallon</t>
  </si>
  <si>
    <t>Half Gallon</t>
  </si>
  <si>
    <t>Quart</t>
  </si>
  <si>
    <t>Pint</t>
  </si>
  <si>
    <t>1/2 Pint</t>
  </si>
  <si>
    <t>4 Ounce</t>
  </si>
  <si>
    <t>AREA 3 PRICE BUILD-UP</t>
  </si>
  <si>
    <t>Retail Discount Buildup</t>
  </si>
  <si>
    <t>Percentage Discount</t>
  </si>
  <si>
    <t>DISCOUNT</t>
  </si>
  <si>
    <t>IN-STORE</t>
  </si>
  <si>
    <t>HANDLING</t>
  </si>
  <si>
    <t>Retail Profit</t>
  </si>
  <si>
    <t>AREA  3</t>
  </si>
  <si>
    <t>UNADJUSTED COST PER CONTAINER - AREA 3</t>
  </si>
  <si>
    <t>CENTS</t>
  </si>
  <si>
    <t xml:space="preserve">        /4/  ADD $0.04 PER QUART FOR HOME-DELIVERED MILK</t>
  </si>
  <si>
    <t>COST UPDATE</t>
  </si>
  <si>
    <t xml:space="preserve">SOUR CREAM </t>
  </si>
  <si>
    <t>/2/</t>
  </si>
  <si>
    <t>Enter number with 4 decimal places</t>
  </si>
  <si>
    <t>SKIM RATE</t>
  </si>
  <si>
    <t>BUTTERFAT RATE</t>
  </si>
  <si>
    <t>CLASS I</t>
  </si>
  <si>
    <t>CLASS II</t>
  </si>
  <si>
    <t xml:space="preserve">                         NOTHEASTERN MILK MARKETING AREA</t>
  </si>
  <si>
    <t xml:space="preserve">                                                  MINIMUM WHOLESALE PRICES</t>
  </si>
  <si>
    <t xml:space="preserve">                                                   SCHEDULE I </t>
  </si>
  <si>
    <t>COST UPDATE ADJ.</t>
  </si>
  <si>
    <t>EGG NOG</t>
  </si>
  <si>
    <t>Consumer Price Index</t>
  </si>
  <si>
    <t>CPI Adjusted In-Store Cost</t>
  </si>
  <si>
    <t>In-Store Cost</t>
  </si>
  <si>
    <t>PROPOSED</t>
  </si>
  <si>
    <t>&amp; ENERGY</t>
  </si>
  <si>
    <t xml:space="preserve"> </t>
  </si>
  <si>
    <t>Class I Skim Value</t>
  </si>
  <si>
    <t>Class I Butterfat Value</t>
  </si>
  <si>
    <t>Adv. Adjusted Class II Skim Price</t>
  </si>
  <si>
    <t>Adv. Adjusted Class II Butterfat Price</t>
  </si>
  <si>
    <t>RETAILERS</t>
  </si>
  <si>
    <t>STANDARD  (WHOLE)</t>
  </si>
  <si>
    <t>MILK</t>
  </si>
  <si>
    <t>REDUCED FAT  (2%)</t>
  </si>
  <si>
    <t>LOWFAT  (1%)</t>
  </si>
  <si>
    <t>NONFAT  (SKIM)</t>
  </si>
  <si>
    <t>REDUCED FAT</t>
  </si>
  <si>
    <t>LIGHT</t>
  </si>
  <si>
    <t>CREAM</t>
  </si>
  <si>
    <t>MEDIUM</t>
  </si>
  <si>
    <t>HEAVY</t>
  </si>
  <si>
    <t>NOV '02</t>
  </si>
  <si>
    <t>NOTHEASTERN MILK MARKETING AREA</t>
  </si>
  <si>
    <t>/4/</t>
  </si>
  <si>
    <t>Bulk Transaction (Profit)/Loss</t>
  </si>
  <si>
    <t>CRATE COST</t>
  </si>
  <si>
    <t>CRATE</t>
  </si>
  <si>
    <t>5 LBS. -</t>
  </si>
  <si>
    <t>10 LBS. -</t>
  </si>
  <si>
    <t>TEN OUNCE</t>
  </si>
  <si>
    <t>TWELVE OUNCE</t>
  </si>
  <si>
    <t>12 OUNCE</t>
  </si>
  <si>
    <t>10 OZ.</t>
  </si>
  <si>
    <t>12 OZ.</t>
  </si>
  <si>
    <t>HALF PINT PLASTIC ADD-ON</t>
  </si>
  <si>
    <t>/5/</t>
  </si>
  <si>
    <t>12 oz</t>
  </si>
  <si>
    <t>10 oz</t>
  </si>
  <si>
    <t>INGREDIENT COSTS</t>
  </si>
  <si>
    <t>NONFAT FLAVORED MILK DRINK</t>
  </si>
  <si>
    <t>FLAVORED NONFAT MILK</t>
  </si>
  <si>
    <t>NONFAT</t>
  </si>
  <si>
    <t>NON-FAT FLAVORED MILK DRINK</t>
  </si>
  <si>
    <t>Enter number with 3 decimal places</t>
  </si>
  <si>
    <t>use shrink factor amount</t>
  </si>
  <si>
    <t>OGO A-962 (CRO9)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</si>
</sst>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mmmm\ d\,\ yyyy"/>
    <numFmt numFmtId="186" formatCode="mmm\-yyyy"/>
    <numFmt numFmtId="187" formatCode="mmmm\-yyyy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_(* #,##0.0000_);_(* \(#,##0.0000\);_(* &quot;-&quot;??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(* #,##0_);_(* \(#,##0\);_(* &quot;-&quot;??_);_(@_)"/>
    <numFmt numFmtId="195" formatCode="_(* #,##0.0000_);_(* \(#,##0.0000\);_(* &quot;-&quot;??_);_(@_)"/>
    <numFmt numFmtId="196" formatCode="_(&quot;$&quot;* #,##0_);_(&quot;$&quot;* \(#,##0\);_(&quot;$&quot;* &quot;-&quot;??_);_(@_)"/>
    <numFmt numFmtId="197" formatCode="_(* #,##0.0_);_(* \(#,##0.0\);_(* &quot;-&quot;??_);_(@_)"/>
    <numFmt numFmtId="198" formatCode="_(&quot;$&quot;* #,##0.0_);_(&quot;$&quot;* \(#,##0.0\);_(&quot;$&quot;* &quot;-&quot;??_);_(@_)"/>
    <numFmt numFmtId="199" formatCode="_(* #,##0.000_);_(* \(#,##0.000\);_(* &quot;-&quot;??_);_(@_)"/>
    <numFmt numFmtId="200" formatCode="mmmm\-yy"/>
    <numFmt numFmtId="201" formatCode="&quot;$&quot;#,##0.00"/>
    <numFmt numFmtId="202" formatCode="&quot;$&quot;#,##0.0000"/>
    <numFmt numFmtId="203" formatCode="_(&quot;$&quot;* #,##0.0000_);_(&quot;$&quot;* \(#,##0.0000\);_(&quot;$&quot;* &quot;-&quot;????_);_(@_)"/>
    <numFmt numFmtId="204" formatCode="[$-409]dddd\,\ mmmm\ dd\,\ yyyy"/>
    <numFmt numFmtId="205" formatCode="[$-409]mmmm\ d\,\ yyyy;@"/>
    <numFmt numFmtId="206" formatCode="&quot;    /5/    ADD &quot;&quot;$&quot;* #,##0.0000_)&quot;WHEN SOLD IN RIGID PLASTIC CONTAINERS&quot;;\(&quot;$&quot;* \(#,##0.0000\);_(&quot;$&quot;* &quot;-&quot;_);_(@_)"/>
    <numFmt numFmtId="207" formatCode="&quot;    /4/    ADD &quot;&quot;$&quot;* #,##0.0000_)&quot;WHEN SOLD IN RIGID PLASTIC CONTAINERS&quot;;\(&quot;$&quot;* \(#,##0.0000\);_(&quot;$&quot;* &quot;-&quot;_);_(@_)"/>
    <numFmt numFmtId="208" formatCode="&quot;    /5/     ADD &quot;&quot;$&quot;* #,##0.0000_)&quot;WHEN SOLD IN RIGID PLASTIC CONTAINERS&quot;;\(&quot;$&quot;* \(#,##0.0000\);_(&quot;$&quot;* &quot;-&quot;_);_(@_)"/>
  </numFmts>
  <fonts count="78">
    <font>
      <sz val="10"/>
      <name val="Arial"/>
      <family val="0"/>
    </font>
    <font>
      <sz val="12"/>
      <name val="Arial MT"/>
      <family val="0"/>
    </font>
    <font>
      <sz val="14"/>
      <name val="Arial"/>
      <family val="2"/>
    </font>
    <font>
      <sz val="12"/>
      <color indexed="12"/>
      <name val="Arial MT"/>
      <family val="0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48"/>
      <name val="Arial"/>
      <family val="2"/>
    </font>
    <font>
      <sz val="10"/>
      <color indexed="62"/>
      <name val="Arial"/>
      <family val="2"/>
    </font>
    <font>
      <b/>
      <i/>
      <sz val="14"/>
      <color indexed="62"/>
      <name val="Arial MT"/>
      <family val="0"/>
    </font>
    <font>
      <sz val="12"/>
      <color indexed="13"/>
      <name val="Arial"/>
      <family val="2"/>
    </font>
    <font>
      <sz val="12"/>
      <color indexed="13"/>
      <name val="Arial MT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2"/>
      <color indexed="8"/>
      <name val="Arial MT"/>
      <family val="0"/>
    </font>
    <font>
      <sz val="2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9"/>
      <name val="Arial MT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 MT"/>
      <family val="0"/>
    </font>
    <font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 MT"/>
      <family val="2"/>
    </font>
    <font>
      <b/>
      <sz val="12"/>
      <color theme="0"/>
      <name val="Arial MT"/>
      <family val="0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0" fillId="0" borderId="13" xfId="0" applyNumberFormat="1" applyBorder="1" applyAlignment="1">
      <alignment/>
    </xf>
    <xf numFmtId="182" fontId="0" fillId="0" borderId="13" xfId="0" applyNumberFormat="1" applyBorder="1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19" xfId="0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8" fontId="4" fillId="0" borderId="19" xfId="0" applyNumberFormat="1" applyFont="1" applyBorder="1" applyAlignment="1">
      <alignment horizontal="center"/>
    </xf>
    <xf numFmtId="8" fontId="4" fillId="0" borderId="11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22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19" xfId="0" applyFont="1" applyBorder="1" applyAlignment="1">
      <alignment/>
    </xf>
    <xf numFmtId="0" fontId="9" fillId="0" borderId="28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14" xfId="0" applyFont="1" applyBorder="1" applyAlignment="1">
      <alignment/>
    </xf>
    <xf numFmtId="2" fontId="9" fillId="0" borderId="14" xfId="0" applyNumberFormat="1" applyFont="1" applyBorder="1" applyAlignment="1">
      <alignment/>
    </xf>
    <xf numFmtId="180" fontId="9" fillId="0" borderId="14" xfId="0" applyNumberFormat="1" applyFont="1" applyBorder="1" applyAlignment="1">
      <alignment/>
    </xf>
    <xf numFmtId="180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180" fontId="9" fillId="0" borderId="15" xfId="0" applyNumberFormat="1" applyFont="1" applyBorder="1" applyAlignment="1">
      <alignment/>
    </xf>
    <xf numFmtId="180" fontId="9" fillId="0" borderId="36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2" fontId="9" fillId="0" borderId="38" xfId="0" applyNumberFormat="1" applyFont="1" applyBorder="1" applyAlignment="1">
      <alignment/>
    </xf>
    <xf numFmtId="180" fontId="9" fillId="0" borderId="38" xfId="0" applyNumberFormat="1" applyFont="1" applyBorder="1" applyAlignment="1">
      <alignment/>
    </xf>
    <xf numFmtId="180" fontId="9" fillId="0" borderId="39" xfId="0" applyNumberFormat="1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2" fontId="9" fillId="0" borderId="41" xfId="0" applyNumberFormat="1" applyFont="1" applyBorder="1" applyAlignment="1">
      <alignment/>
    </xf>
    <xf numFmtId="180" fontId="9" fillId="0" borderId="41" xfId="0" applyNumberFormat="1" applyFont="1" applyBorder="1" applyAlignment="1">
      <alignment/>
    </xf>
    <xf numFmtId="180" fontId="9" fillId="0" borderId="42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9" fillId="0" borderId="10" xfId="0" applyFont="1" applyBorder="1" applyAlignment="1">
      <alignment/>
    </xf>
    <xf numFmtId="0" fontId="9" fillId="0" borderId="24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9" fillId="0" borderId="23" xfId="0" applyFont="1" applyBorder="1" applyAlignment="1">
      <alignment horizontal="centerContinuous" vertical="center"/>
    </xf>
    <xf numFmtId="0" fontId="9" fillId="0" borderId="26" xfId="0" applyFont="1" applyBorder="1" applyAlignment="1">
      <alignment horizontal="centerContinuous" vertical="center"/>
    </xf>
    <xf numFmtId="0" fontId="9" fillId="0" borderId="27" xfId="0" applyFont="1" applyBorder="1" applyAlignment="1">
      <alignment horizontal="centerContinuous" vertical="center"/>
    </xf>
    <xf numFmtId="2" fontId="9" fillId="0" borderId="3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39" xfId="0" applyNumberFormat="1" applyFont="1" applyBorder="1" applyAlignment="1">
      <alignment/>
    </xf>
    <xf numFmtId="2" fontId="9" fillId="0" borderId="42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7" fontId="3" fillId="33" borderId="13" xfId="0" applyNumberFormat="1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17" fontId="15" fillId="35" borderId="43" xfId="0" applyNumberFormat="1" applyFont="1" applyFill="1" applyBorder="1" applyAlignment="1" applyProtection="1">
      <alignment horizontal="centerContinuous"/>
      <protection/>
    </xf>
    <xf numFmtId="0" fontId="17" fillId="35" borderId="44" xfId="0" applyFont="1" applyFill="1" applyBorder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/>
    </xf>
    <xf numFmtId="165" fontId="20" fillId="0" borderId="0" xfId="0" applyNumberFormat="1" applyFont="1" applyAlignment="1" applyProtection="1">
      <alignment horizontal="centerContinuous" vertical="center"/>
      <protection/>
    </xf>
    <xf numFmtId="166" fontId="18" fillId="0" borderId="0" xfId="0" applyNumberFormat="1" applyFont="1" applyAlignment="1" applyProtection="1">
      <alignment horizontal="centerContinuous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/>
      <protection/>
    </xf>
    <xf numFmtId="37" fontId="9" fillId="0" borderId="50" xfId="0" applyNumberFormat="1" applyFont="1" applyBorder="1" applyAlignment="1" applyProtection="1">
      <alignment/>
      <protection/>
    </xf>
    <xf numFmtId="37" fontId="9" fillId="0" borderId="51" xfId="0" applyNumberFormat="1" applyFont="1" applyBorder="1" applyAlignment="1" applyProtection="1">
      <alignment/>
      <protection/>
    </xf>
    <xf numFmtId="185" fontId="4" fillId="0" borderId="0" xfId="0" applyNumberFormat="1" applyFont="1" applyAlignment="1">
      <alignment horizontal="centerContinuous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35" borderId="44" xfId="0" applyFill="1" applyBorder="1" applyAlignment="1" applyProtection="1">
      <alignment horizontal="centerContinuous"/>
      <protection/>
    </xf>
    <xf numFmtId="0" fontId="16" fillId="35" borderId="44" xfId="0" applyFont="1" applyFill="1" applyBorder="1" applyAlignment="1" applyProtection="1">
      <alignment horizontal="centerContinuous"/>
      <protection/>
    </xf>
    <xf numFmtId="0" fontId="9" fillId="35" borderId="52" xfId="0" applyFont="1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86" fontId="3" fillId="33" borderId="14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4" fontId="9" fillId="0" borderId="0" xfId="44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9" fontId="3" fillId="33" borderId="13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94" fontId="9" fillId="0" borderId="50" xfId="42" applyNumberFormat="1" applyFont="1" applyBorder="1" applyAlignment="1" applyProtection="1">
      <alignment/>
      <protection/>
    </xf>
    <xf numFmtId="180" fontId="0" fillId="0" borderId="53" xfId="0" applyNumberFormat="1" applyBorder="1" applyAlignment="1">
      <alignment/>
    </xf>
    <xf numFmtId="7" fontId="0" fillId="0" borderId="16" xfId="44" applyNumberFormat="1" applyFont="1" applyBorder="1" applyAlignment="1">
      <alignment/>
    </xf>
    <xf numFmtId="7" fontId="0" fillId="0" borderId="13" xfId="44" applyNumberFormat="1" applyFont="1" applyBorder="1" applyAlignment="1">
      <alignment/>
    </xf>
    <xf numFmtId="7" fontId="0" fillId="0" borderId="53" xfId="44" applyNumberFormat="1" applyFont="1" applyBorder="1" applyAlignment="1">
      <alignment/>
    </xf>
    <xf numFmtId="7" fontId="0" fillId="0" borderId="22" xfId="44" applyNumberFormat="1" applyFont="1" applyBorder="1" applyAlignment="1">
      <alignment/>
    </xf>
    <xf numFmtId="187" fontId="20" fillId="0" borderId="0" xfId="0" applyNumberFormat="1" applyFont="1" applyAlignment="1" applyProtection="1">
      <alignment horizontal="centerContinuous"/>
      <protection/>
    </xf>
    <xf numFmtId="180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3" fillId="0" borderId="43" xfId="0" applyFont="1" applyBorder="1" applyAlignment="1">
      <alignment horizontal="centerContinuous" vertical="center"/>
    </xf>
    <xf numFmtId="0" fontId="4" fillId="0" borderId="52" xfId="0" applyFont="1" applyBorder="1" applyAlignment="1">
      <alignment horizontal="centerContinuous" vertical="center"/>
    </xf>
    <xf numFmtId="0" fontId="23" fillId="0" borderId="54" xfId="0" applyFont="1" applyBorder="1" applyAlignment="1">
      <alignment horizontal="centerContinuous" vertical="center"/>
    </xf>
    <xf numFmtId="0" fontId="23" fillId="0" borderId="55" xfId="0" applyFont="1" applyBorder="1" applyAlignment="1">
      <alignment horizontal="centerContinuous" vertical="center"/>
    </xf>
    <xf numFmtId="0" fontId="23" fillId="0" borderId="56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195" fontId="9" fillId="0" borderId="50" xfId="42" applyNumberFormat="1" applyFont="1" applyBorder="1" applyAlignment="1" applyProtection="1">
      <alignment/>
      <protection/>
    </xf>
    <xf numFmtId="167" fontId="9" fillId="0" borderId="57" xfId="0" applyNumberFormat="1" applyFont="1" applyBorder="1" applyAlignment="1" applyProtection="1">
      <alignment/>
      <protection/>
    </xf>
    <xf numFmtId="194" fontId="9" fillId="0" borderId="51" xfId="42" applyNumberFormat="1" applyFont="1" applyBorder="1" applyAlignment="1" applyProtection="1">
      <alignment/>
      <protection/>
    </xf>
    <xf numFmtId="195" fontId="9" fillId="0" borderId="51" xfId="42" applyNumberFormat="1" applyFont="1" applyBorder="1" applyAlignment="1" applyProtection="1">
      <alignment/>
      <protection/>
    </xf>
    <xf numFmtId="167" fontId="9" fillId="0" borderId="58" xfId="0" applyNumberFormat="1" applyFont="1" applyBorder="1" applyAlignment="1" applyProtection="1">
      <alignment/>
      <protection/>
    </xf>
    <xf numFmtId="37" fontId="9" fillId="0" borderId="59" xfId="0" applyNumberFormat="1" applyFont="1" applyBorder="1" applyAlignment="1" applyProtection="1">
      <alignment/>
      <protection/>
    </xf>
    <xf numFmtId="194" fontId="9" fillId="0" borderId="59" xfId="42" applyNumberFormat="1" applyFont="1" applyBorder="1" applyAlignment="1" applyProtection="1">
      <alignment/>
      <protection/>
    </xf>
    <xf numFmtId="195" fontId="9" fillId="0" borderId="59" xfId="42" applyNumberFormat="1" applyFont="1" applyBorder="1" applyAlignment="1" applyProtection="1">
      <alignment/>
      <protection/>
    </xf>
    <xf numFmtId="167" fontId="9" fillId="0" borderId="60" xfId="0" applyNumberFormat="1" applyFont="1" applyBorder="1" applyAlignment="1" applyProtection="1">
      <alignment/>
      <protection/>
    </xf>
    <xf numFmtId="18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Alignment="1">
      <alignment horizontal="centerContinuous" vertical="center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7" fillId="0" borderId="0" xfId="0" applyFont="1" applyAlignment="1">
      <alignment horizontal="centerContinuous"/>
    </xf>
    <xf numFmtId="2" fontId="23" fillId="0" borderId="61" xfId="0" applyNumberFormat="1" applyFont="1" applyBorder="1" applyAlignment="1">
      <alignment horizontal="centerContinuous" vertical="center"/>
    </xf>
    <xf numFmtId="0" fontId="25" fillId="0" borderId="0" xfId="0" applyFont="1" applyBorder="1" applyAlignment="1" applyProtection="1">
      <alignment/>
      <protection/>
    </xf>
    <xf numFmtId="187" fontId="26" fillId="0" borderId="0" xfId="0" applyNumberFormat="1" applyFont="1" applyAlignment="1">
      <alignment horizontal="left"/>
    </xf>
    <xf numFmtId="37" fontId="9" fillId="33" borderId="62" xfId="0" applyNumberFormat="1" applyFont="1" applyFill="1" applyBorder="1" applyAlignment="1" applyProtection="1">
      <alignment/>
      <protection/>
    </xf>
    <xf numFmtId="37" fontId="9" fillId="33" borderId="50" xfId="0" applyNumberFormat="1" applyFont="1" applyFill="1" applyBorder="1" applyAlignment="1" applyProtection="1">
      <alignment/>
      <protection/>
    </xf>
    <xf numFmtId="37" fontId="9" fillId="33" borderId="63" xfId="0" applyNumberFormat="1" applyFont="1" applyFill="1" applyBorder="1" applyAlignment="1" applyProtection="1">
      <alignment/>
      <protection/>
    </xf>
    <xf numFmtId="37" fontId="9" fillId="33" borderId="51" xfId="0" applyNumberFormat="1" applyFont="1" applyFill="1" applyBorder="1" applyAlignment="1" applyProtection="1">
      <alignment/>
      <protection/>
    </xf>
    <xf numFmtId="37" fontId="9" fillId="33" borderId="64" xfId="0" applyNumberFormat="1" applyFont="1" applyFill="1" applyBorder="1" applyAlignment="1" applyProtection="1">
      <alignment/>
      <protection/>
    </xf>
    <xf numFmtId="37" fontId="9" fillId="33" borderId="59" xfId="0" applyNumberFormat="1" applyFont="1" applyFill="1" applyBorder="1" applyAlignment="1" applyProtection="1">
      <alignment/>
      <protection/>
    </xf>
    <xf numFmtId="0" fontId="0" fillId="0" borderId="65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0" fontId="0" fillId="0" borderId="16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22" xfId="0" applyNumberFormat="1" applyFill="1" applyBorder="1" applyAlignment="1">
      <alignment/>
    </xf>
    <xf numFmtId="178" fontId="18" fillId="0" borderId="0" xfId="0" applyNumberFormat="1" applyFont="1" applyFill="1" applyAlignment="1">
      <alignment/>
    </xf>
    <xf numFmtId="8" fontId="4" fillId="0" borderId="19" xfId="0" applyNumberFormat="1" applyFont="1" applyFill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0" fillId="0" borderId="16" xfId="0" applyNumberForma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22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67" xfId="0" applyNumberFormat="1" applyFill="1" applyBorder="1" applyAlignment="1">
      <alignment/>
    </xf>
    <xf numFmtId="8" fontId="0" fillId="0" borderId="67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203" fontId="0" fillId="33" borderId="16" xfId="0" applyNumberFormat="1" applyFill="1" applyBorder="1" applyAlignment="1">
      <alignment/>
    </xf>
    <xf numFmtId="203" fontId="0" fillId="33" borderId="13" xfId="0" applyNumberFormat="1" applyFill="1" applyBorder="1" applyAlignment="1">
      <alignment/>
    </xf>
    <xf numFmtId="203" fontId="0" fillId="33" borderId="22" xfId="0" applyNumberFormat="1" applyFill="1" applyBorder="1" applyAlignment="1">
      <alignment/>
    </xf>
    <xf numFmtId="203" fontId="0" fillId="0" borderId="0" xfId="0" applyNumberFormat="1" applyFill="1" applyAlignment="1">
      <alignment/>
    </xf>
    <xf numFmtId="203" fontId="0" fillId="0" borderId="26" xfId="0" applyNumberFormat="1" applyFill="1" applyBorder="1" applyAlignment="1">
      <alignment/>
    </xf>
    <xf numFmtId="44" fontId="0" fillId="33" borderId="68" xfId="0" applyNumberFormat="1" applyFill="1" applyBorder="1" applyAlignment="1">
      <alignment/>
    </xf>
    <xf numFmtId="44" fontId="0" fillId="33" borderId="69" xfId="0" applyNumberFormat="1" applyFill="1" applyBorder="1" applyAlignment="1">
      <alignment/>
    </xf>
    <xf numFmtId="44" fontId="0" fillId="33" borderId="70" xfId="0" applyNumberFormat="1" applyFill="1" applyBorder="1" applyAlignment="1">
      <alignment/>
    </xf>
    <xf numFmtId="44" fontId="0" fillId="0" borderId="0" xfId="0" applyNumberFormat="1" applyFill="1" applyAlignment="1">
      <alignment/>
    </xf>
    <xf numFmtId="44" fontId="0" fillId="33" borderId="71" xfId="0" applyNumberFormat="1" applyFill="1" applyBorder="1" applyAlignment="1">
      <alignment/>
    </xf>
    <xf numFmtId="44" fontId="0" fillId="33" borderId="72" xfId="0" applyNumberFormat="1" applyFill="1" applyBorder="1" applyAlignment="1">
      <alignment/>
    </xf>
    <xf numFmtId="44" fontId="0" fillId="33" borderId="73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26" xfId="0" applyNumberForma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0" xfId="0" applyAlignment="1" quotePrefix="1">
      <alignment/>
    </xf>
    <xf numFmtId="180" fontId="9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8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3" fillId="0" borderId="44" xfId="0" applyFont="1" applyBorder="1" applyAlignment="1">
      <alignment horizontal="centerContinuous" vertical="center"/>
    </xf>
    <xf numFmtId="0" fontId="23" fillId="0" borderId="52" xfId="0" applyFont="1" applyBorder="1" applyAlignment="1">
      <alignment horizontal="centerContinuous" vertical="center"/>
    </xf>
    <xf numFmtId="0" fontId="22" fillId="0" borderId="0" xfId="0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32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207" fontId="9" fillId="0" borderId="0" xfId="0" applyNumberFormat="1" applyFont="1" applyAlignment="1">
      <alignment horizontal="center"/>
    </xf>
    <xf numFmtId="0" fontId="9" fillId="0" borderId="0" xfId="0" applyFont="1" applyFill="1" applyBorder="1" applyAlignment="1" applyProtection="1">
      <alignment/>
      <protection hidden="1"/>
    </xf>
    <xf numFmtId="0" fontId="21" fillId="0" borderId="0" xfId="0" applyFont="1" applyFill="1" applyAlignment="1" applyProtection="1">
      <alignment horizontal="left"/>
      <protection/>
    </xf>
    <xf numFmtId="180" fontId="9" fillId="33" borderId="15" xfId="0" applyNumberFormat="1" applyFont="1" applyFill="1" applyBorder="1" applyAlignment="1" applyProtection="1">
      <alignment/>
      <protection hidden="1"/>
    </xf>
    <xf numFmtId="180" fontId="9" fillId="33" borderId="38" xfId="0" applyNumberFormat="1" applyFont="1" applyFill="1" applyBorder="1" applyAlignment="1" applyProtection="1">
      <alignment/>
      <protection hidden="1"/>
    </xf>
    <xf numFmtId="180" fontId="9" fillId="33" borderId="14" xfId="0" applyNumberFormat="1" applyFont="1" applyFill="1" applyBorder="1" applyAlignment="1" applyProtection="1">
      <alignment/>
      <protection hidden="1"/>
    </xf>
    <xf numFmtId="189" fontId="21" fillId="0" borderId="0" xfId="44" applyNumberFormat="1" applyFont="1" applyFill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quotePrefix="1">
      <alignment/>
    </xf>
    <xf numFmtId="0" fontId="10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 hidden="1"/>
    </xf>
    <xf numFmtId="199" fontId="3" fillId="33" borderId="13" xfId="42" applyNumberFormat="1" applyFont="1" applyFill="1" applyBorder="1" applyAlignment="1" applyProtection="1">
      <alignment/>
      <protection locked="0"/>
    </xf>
    <xf numFmtId="0" fontId="4" fillId="0" borderId="2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1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89" fontId="1" fillId="0" borderId="0" xfId="44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 hidden="1"/>
    </xf>
    <xf numFmtId="189" fontId="1" fillId="0" borderId="0" xfId="44" applyNumberFormat="1" applyFont="1" applyFill="1" applyBorder="1" applyAlignment="1" applyProtection="1">
      <alignment/>
      <protection locked="0"/>
    </xf>
    <xf numFmtId="189" fontId="1" fillId="36" borderId="15" xfId="44" applyNumberFormat="1" applyFont="1" applyFill="1" applyBorder="1" applyAlignment="1" applyProtection="1">
      <alignment/>
      <protection locked="0"/>
    </xf>
    <xf numFmtId="189" fontId="1" fillId="36" borderId="14" xfId="44" applyNumberFormat="1" applyFont="1" applyFill="1" applyBorder="1" applyAlignment="1" applyProtection="1">
      <alignment/>
      <protection locked="0"/>
    </xf>
    <xf numFmtId="0" fontId="71" fillId="0" borderId="0" xfId="0" applyFont="1" applyFill="1" applyAlignment="1" applyProtection="1">
      <alignment/>
      <protection hidden="1"/>
    </xf>
    <xf numFmtId="0" fontId="72" fillId="0" borderId="0" xfId="0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/>
      <protection hidden="1"/>
    </xf>
    <xf numFmtId="0" fontId="74" fillId="0" borderId="0" xfId="0" applyFont="1" applyFill="1" applyAlignment="1" applyProtection="1">
      <alignment/>
      <protection hidden="1"/>
    </xf>
    <xf numFmtId="0" fontId="72" fillId="0" borderId="0" xfId="0" applyFont="1" applyFill="1" applyBorder="1" applyAlignment="1" applyProtection="1">
      <alignment/>
      <protection hidden="1"/>
    </xf>
    <xf numFmtId="180" fontId="75" fillId="0" borderId="0" xfId="0" applyNumberFormat="1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/>
      <protection/>
    </xf>
    <xf numFmtId="0" fontId="75" fillId="0" borderId="0" xfId="0" applyFont="1" applyFill="1" applyAlignment="1" applyProtection="1">
      <alignment/>
      <protection hidden="1"/>
    </xf>
    <xf numFmtId="0" fontId="75" fillId="0" borderId="0" xfId="0" applyFont="1" applyFill="1" applyBorder="1" applyAlignment="1" applyProtection="1">
      <alignment/>
      <protection hidden="1"/>
    </xf>
    <xf numFmtId="0" fontId="76" fillId="0" borderId="0" xfId="0" applyFont="1" applyFill="1" applyBorder="1" applyAlignment="1" applyProtection="1">
      <alignment horizontal="center"/>
      <protection hidden="1"/>
    </xf>
    <xf numFmtId="0" fontId="73" fillId="0" borderId="0" xfId="0" applyFont="1" applyFill="1" applyBorder="1" applyAlignment="1" applyProtection="1">
      <alignment/>
      <protection hidden="1"/>
    </xf>
    <xf numFmtId="189" fontId="75" fillId="0" borderId="0" xfId="0" applyNumberFormat="1" applyFont="1" applyFill="1" applyAlignment="1" applyProtection="1">
      <alignment/>
      <protection hidden="1"/>
    </xf>
    <xf numFmtId="10" fontId="75" fillId="0" borderId="0" xfId="0" applyNumberFormat="1" applyFont="1" applyFill="1" applyBorder="1" applyAlignment="1" applyProtection="1">
      <alignment/>
      <protection hidden="1"/>
    </xf>
    <xf numFmtId="10" fontId="75" fillId="0" borderId="0" xfId="0" applyNumberFormat="1" applyFont="1" applyFill="1" applyAlignment="1" applyProtection="1">
      <alignment/>
      <protection hidden="1"/>
    </xf>
    <xf numFmtId="0" fontId="75" fillId="0" borderId="0" xfId="0" applyFont="1" applyFill="1" applyAlignment="1" applyProtection="1">
      <alignment horizontal="right"/>
      <protection hidden="1"/>
    </xf>
    <xf numFmtId="9" fontId="75" fillId="0" borderId="0" xfId="0" applyNumberFormat="1" applyFont="1" applyFill="1" applyAlignment="1" applyProtection="1">
      <alignment/>
      <protection hidden="1"/>
    </xf>
    <xf numFmtId="0" fontId="74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3" fillId="0" borderId="0" xfId="0" applyFont="1" applyFill="1" applyAlignment="1" applyProtection="1">
      <alignment/>
      <protection hidden="1"/>
    </xf>
    <xf numFmtId="180" fontId="9" fillId="0" borderId="0" xfId="0" applyNumberFormat="1" applyFont="1" applyFill="1" applyAlignment="1" applyProtection="1">
      <alignment/>
      <protection hidden="1"/>
    </xf>
    <xf numFmtId="180" fontId="0" fillId="0" borderId="0" xfId="0" applyNumberFormat="1" applyFont="1" applyFill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189" fontId="1" fillId="36" borderId="38" xfId="44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4" xfId="0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88"/>
    </xf>
    <xf numFmtId="0" fontId="0" fillId="0" borderId="74" xfId="0" applyBorder="1" applyAlignment="1">
      <alignment horizontal="center" vertical="center" textRotation="88"/>
    </xf>
    <xf numFmtId="0" fontId="0" fillId="0" borderId="29" xfId="0" applyBorder="1" applyAlignment="1">
      <alignment horizontal="center" vertical="center" textRotation="88"/>
    </xf>
    <xf numFmtId="0" fontId="0" fillId="0" borderId="25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7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4" xfId="0" applyFont="1" applyBorder="1" applyAlignment="1">
      <alignment horizontal="center" vertical="center" textRotation="90"/>
    </xf>
    <xf numFmtId="208" fontId="9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1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40.7109375" style="110" customWidth="1"/>
    <col min="2" max="2" width="18.00390625" style="109" customWidth="1"/>
    <col min="3" max="3" width="3.421875" style="109" customWidth="1"/>
    <col min="4" max="4" width="10.421875" style="110" customWidth="1"/>
    <col min="5" max="5" width="13.8515625" style="110" customWidth="1"/>
    <col min="6" max="6" width="9.140625" style="110" customWidth="1"/>
    <col min="7" max="7" width="11.28125" style="110" customWidth="1"/>
    <col min="8" max="16384" width="9.140625" style="109" customWidth="1"/>
  </cols>
  <sheetData>
    <row r="1" spans="1:9" ht="15.75" thickBot="1">
      <c r="A1" s="120" t="s">
        <v>116</v>
      </c>
      <c r="B1" s="1"/>
      <c r="I1" s="110"/>
    </row>
    <row r="2" spans="1:9" ht="19.5" thickBot="1">
      <c r="A2" s="94" t="s">
        <v>204</v>
      </c>
      <c r="B2" s="91" t="s">
        <v>0</v>
      </c>
      <c r="C2" s="111"/>
      <c r="D2" s="112"/>
      <c r="E2" s="112"/>
      <c r="F2" s="92"/>
      <c r="G2" s="113"/>
      <c r="H2" s="114"/>
      <c r="I2" s="110"/>
    </row>
    <row r="3" spans="1:9" ht="15">
      <c r="A3" s="1"/>
      <c r="B3" s="117"/>
      <c r="C3" s="90" t="s">
        <v>1</v>
      </c>
      <c r="D3" s="87" t="s">
        <v>2</v>
      </c>
      <c r="I3" s="110"/>
    </row>
    <row r="4" spans="1:9" ht="15">
      <c r="A4" s="1"/>
      <c r="B4" s="2"/>
      <c r="C4" s="90"/>
      <c r="D4" s="87"/>
      <c r="I4" s="87"/>
    </row>
    <row r="5" spans="1:11" ht="15.75">
      <c r="A5" s="108" t="s">
        <v>165</v>
      </c>
      <c r="B5" s="88"/>
      <c r="C5" s="90" t="s">
        <v>1</v>
      </c>
      <c r="D5" s="87" t="s">
        <v>6</v>
      </c>
      <c r="H5" s="89" t="s">
        <v>3</v>
      </c>
      <c r="I5" s="89"/>
      <c r="J5" s="89"/>
      <c r="K5" s="89"/>
    </row>
    <row r="6" spans="1:12" ht="15.75">
      <c r="A6" s="108" t="s">
        <v>166</v>
      </c>
      <c r="B6" s="122"/>
      <c r="C6" s="90" t="s">
        <v>1</v>
      </c>
      <c r="D6" s="87" t="s">
        <v>149</v>
      </c>
      <c r="H6" s="89" t="s">
        <v>4</v>
      </c>
      <c r="I6" s="89"/>
      <c r="J6" s="89"/>
      <c r="K6" s="89"/>
      <c r="L6" s="115"/>
    </row>
    <row r="7" spans="1:12" ht="15.75">
      <c r="A7" s="1" t="s">
        <v>167</v>
      </c>
      <c r="B7" s="88"/>
      <c r="C7" s="90" t="s">
        <v>1</v>
      </c>
      <c r="D7" s="87" t="s">
        <v>6</v>
      </c>
      <c r="H7" s="89" t="s">
        <v>5</v>
      </c>
      <c r="I7" s="89"/>
      <c r="J7" s="89"/>
      <c r="K7" s="89"/>
      <c r="L7" s="89"/>
    </row>
    <row r="8" spans="1:8" ht="15">
      <c r="A8" s="1" t="s">
        <v>168</v>
      </c>
      <c r="B8" s="122"/>
      <c r="C8" s="90" t="s">
        <v>1</v>
      </c>
      <c r="D8" s="87" t="s">
        <v>149</v>
      </c>
      <c r="H8" s="116"/>
    </row>
    <row r="9" spans="1:8" ht="15">
      <c r="A9" s="157" t="s">
        <v>159</v>
      </c>
      <c r="B9" s="239"/>
      <c r="C9" s="90" t="s">
        <v>1</v>
      </c>
      <c r="D9" s="87" t="s">
        <v>202</v>
      </c>
      <c r="H9" s="116"/>
    </row>
    <row r="10" spans="1:4" ht="15">
      <c r="A10" s="101" t="s">
        <v>7</v>
      </c>
      <c r="B10" s="122"/>
      <c r="C10" s="90" t="s">
        <v>1</v>
      </c>
      <c r="D10" s="87" t="s">
        <v>149</v>
      </c>
    </row>
    <row r="11" spans="3:5" ht="15">
      <c r="C11" s="90"/>
      <c r="D11" s="87"/>
      <c r="E11" s="1"/>
    </row>
    <row r="12" spans="1:5" ht="15">
      <c r="A12" s="224" t="s">
        <v>11</v>
      </c>
      <c r="B12" s="203"/>
      <c r="C12" s="90"/>
      <c r="D12" s="87"/>
      <c r="E12" s="1"/>
    </row>
    <row r="13" spans="1:5" ht="15">
      <c r="A13" s="224" t="s">
        <v>12</v>
      </c>
      <c r="B13" s="226"/>
      <c r="C13" s="90"/>
      <c r="D13" s="87"/>
      <c r="E13" s="1"/>
    </row>
    <row r="14" spans="1:5" ht="15">
      <c r="A14" s="224" t="s">
        <v>13</v>
      </c>
      <c r="B14" s="227"/>
      <c r="C14" s="90"/>
      <c r="D14" s="87"/>
      <c r="E14" s="1"/>
    </row>
    <row r="15" spans="1:5" ht="15">
      <c r="A15" s="224" t="s">
        <v>14</v>
      </c>
      <c r="B15" s="227"/>
      <c r="C15" s="90"/>
      <c r="D15" s="87"/>
      <c r="E15" s="1"/>
    </row>
    <row r="16" spans="1:5" ht="15">
      <c r="A16" s="224" t="s">
        <v>15</v>
      </c>
      <c r="B16" s="227"/>
      <c r="C16" s="90"/>
      <c r="D16" s="87"/>
      <c r="E16" s="1"/>
    </row>
    <row r="17" spans="1:5" ht="15" hidden="1">
      <c r="A17" s="224" t="s">
        <v>189</v>
      </c>
      <c r="B17" s="227">
        <v>0.063</v>
      </c>
      <c r="C17" s="90"/>
      <c r="D17" s="87"/>
      <c r="E17" s="1"/>
    </row>
    <row r="18" spans="1:5" ht="15" hidden="1">
      <c r="A18" s="224" t="s">
        <v>188</v>
      </c>
      <c r="B18" s="227">
        <v>0.0587</v>
      </c>
      <c r="C18" s="90"/>
      <c r="D18" s="87"/>
      <c r="E18" s="1"/>
    </row>
    <row r="19" spans="1:5" ht="15">
      <c r="A19" s="224" t="s">
        <v>16</v>
      </c>
      <c r="B19" s="227"/>
      <c r="C19" s="90"/>
      <c r="D19" s="87"/>
      <c r="E19" s="1"/>
    </row>
    <row r="20" spans="1:5" ht="15">
      <c r="A20" s="224" t="s">
        <v>193</v>
      </c>
      <c r="B20" s="228"/>
      <c r="C20" s="90"/>
      <c r="D20" s="229">
        <f>IF(ROUND(B20,2)&gt;B20,ROUND(B20,2),ROUND(B20+0.01,2))</f>
        <v>0.01</v>
      </c>
      <c r="E20" s="1"/>
    </row>
    <row r="21" spans="1:5" ht="15" hidden="1">
      <c r="A21" s="224" t="s">
        <v>17</v>
      </c>
      <c r="B21" s="227">
        <v>0.0195</v>
      </c>
      <c r="C21" s="90"/>
      <c r="D21" s="87" t="s">
        <v>203</v>
      </c>
      <c r="E21" s="1"/>
    </row>
    <row r="22" spans="1:5" ht="15" hidden="1">
      <c r="A22" s="224" t="s">
        <v>18</v>
      </c>
      <c r="B22" s="228">
        <v>0.0374</v>
      </c>
      <c r="C22" s="90"/>
      <c r="D22" s="87"/>
      <c r="E22" s="1"/>
    </row>
    <row r="23" spans="1:5" ht="15">
      <c r="A23" s="248"/>
      <c r="B23" s="254"/>
      <c r="C23" s="225"/>
      <c r="D23" s="204"/>
      <c r="E23" s="205"/>
    </row>
    <row r="24" spans="1:8" ht="15">
      <c r="A24" s="248" t="s">
        <v>197</v>
      </c>
      <c r="B24" s="254"/>
      <c r="C24" s="225"/>
      <c r="D24" s="233"/>
      <c r="E24" s="234"/>
      <c r="F24" s="235"/>
      <c r="G24" s="235"/>
      <c r="H24" s="236"/>
    </row>
    <row r="25" spans="1:8" ht="15">
      <c r="A25" s="248" t="s">
        <v>24</v>
      </c>
      <c r="B25" s="255"/>
      <c r="C25" s="90" t="s">
        <v>1</v>
      </c>
      <c r="D25" s="87" t="s">
        <v>149</v>
      </c>
      <c r="E25" s="234"/>
      <c r="F25" s="235"/>
      <c r="G25" s="235"/>
      <c r="H25" s="236"/>
    </row>
    <row r="26" spans="1:8" ht="15">
      <c r="A26" s="248" t="s">
        <v>25</v>
      </c>
      <c r="B26" s="279"/>
      <c r="C26" s="90" t="s">
        <v>1</v>
      </c>
      <c r="D26" s="87" t="s">
        <v>149</v>
      </c>
      <c r="E26" s="234"/>
      <c r="F26" s="235"/>
      <c r="G26" s="235"/>
      <c r="H26" s="236"/>
    </row>
    <row r="27" spans="1:8" ht="15">
      <c r="A27" s="248" t="s">
        <v>201</v>
      </c>
      <c r="B27" s="256"/>
      <c r="C27" s="90" t="s">
        <v>1</v>
      </c>
      <c r="D27" s="87" t="s">
        <v>149</v>
      </c>
      <c r="E27" s="252"/>
      <c r="F27" s="235"/>
      <c r="G27" s="235"/>
      <c r="H27" s="236"/>
    </row>
    <row r="28" spans="1:14" ht="15">
      <c r="A28" s="248"/>
      <c r="B28" s="249"/>
      <c r="C28" s="250"/>
      <c r="D28" s="251"/>
      <c r="E28" s="252"/>
      <c r="F28" s="237"/>
      <c r="G28" s="237"/>
      <c r="H28" s="236"/>
      <c r="I28" s="236"/>
      <c r="J28" s="236"/>
      <c r="K28" s="236"/>
      <c r="L28" s="236"/>
      <c r="M28" s="236"/>
      <c r="N28" s="236"/>
    </row>
    <row r="29" spans="1:14" ht="15.75">
      <c r="A29" s="257"/>
      <c r="B29" s="258" t="s">
        <v>8</v>
      </c>
      <c r="C29" s="274"/>
      <c r="D29" s="275"/>
      <c r="E29" s="275"/>
      <c r="F29" s="260"/>
      <c r="G29" s="216"/>
      <c r="H29" s="220"/>
      <c r="I29" s="220"/>
      <c r="J29" s="280"/>
      <c r="K29" s="280"/>
      <c r="L29" s="280"/>
      <c r="M29" s="280"/>
      <c r="N29" s="280"/>
    </row>
    <row r="30" spans="1:14" ht="15.75">
      <c r="A30" s="261" t="s">
        <v>10</v>
      </c>
      <c r="B30" s="262">
        <v>0.2662</v>
      </c>
      <c r="C30" s="277"/>
      <c r="D30" s="276"/>
      <c r="E30" s="276"/>
      <c r="F30" s="260"/>
      <c r="G30" s="216"/>
      <c r="H30" s="220"/>
      <c r="I30" s="220"/>
      <c r="J30" s="280"/>
      <c r="K30" s="280"/>
      <c r="L30" s="280"/>
      <c r="M30" s="280"/>
      <c r="N30" s="280"/>
    </row>
    <row r="31" spans="1:14" ht="15.75">
      <c r="A31" s="261"/>
      <c r="B31" s="260"/>
      <c r="C31" s="274"/>
      <c r="D31" s="275"/>
      <c r="E31" s="275"/>
      <c r="F31" s="260"/>
      <c r="G31" s="216"/>
      <c r="H31" s="221"/>
      <c r="I31" s="220"/>
      <c r="J31" s="281"/>
      <c r="K31" s="281"/>
      <c r="L31" s="281"/>
      <c r="M31" s="281"/>
      <c r="N31" s="281"/>
    </row>
    <row r="32" spans="1:15" ht="15">
      <c r="A32" s="263"/>
      <c r="B32" s="263"/>
      <c r="C32" s="253"/>
      <c r="D32" s="253"/>
      <c r="E32" s="253"/>
      <c r="F32" s="264"/>
      <c r="G32" s="218"/>
      <c r="H32" s="222"/>
      <c r="I32" s="220"/>
      <c r="J32" s="281"/>
      <c r="K32" s="281"/>
      <c r="L32" s="281"/>
      <c r="M32" s="281"/>
      <c r="N32" s="281"/>
      <c r="O32" s="118"/>
    </row>
    <row r="33" spans="1:15" ht="15">
      <c r="A33" s="265"/>
      <c r="B33" s="264"/>
      <c r="C33" s="253"/>
      <c r="D33" s="253"/>
      <c r="E33" s="253"/>
      <c r="F33" s="264"/>
      <c r="G33" s="218"/>
      <c r="H33" s="222"/>
      <c r="I33" s="220"/>
      <c r="J33" s="281"/>
      <c r="K33" s="281"/>
      <c r="L33" s="281"/>
      <c r="M33" s="281"/>
      <c r="N33" s="281"/>
      <c r="O33" s="118"/>
    </row>
    <row r="34" spans="1:15" ht="15">
      <c r="A34" s="265" t="s">
        <v>157</v>
      </c>
      <c r="B34" s="262">
        <v>0.0058</v>
      </c>
      <c r="C34" s="253"/>
      <c r="D34" s="253"/>
      <c r="E34" s="276"/>
      <c r="F34" s="264"/>
      <c r="G34" s="218"/>
      <c r="H34" s="222"/>
      <c r="I34" s="220"/>
      <c r="J34" s="281"/>
      <c r="K34" s="281"/>
      <c r="L34" s="281"/>
      <c r="M34" s="281"/>
      <c r="N34" s="281"/>
      <c r="O34" s="118"/>
    </row>
    <row r="35" spans="1:15" ht="15">
      <c r="A35" s="265"/>
      <c r="B35" s="262"/>
      <c r="C35" s="253"/>
      <c r="D35" s="253"/>
      <c r="E35" s="276"/>
      <c r="F35" s="264"/>
      <c r="G35" s="218"/>
      <c r="H35" s="222"/>
      <c r="I35" s="220"/>
      <c r="J35" s="281"/>
      <c r="K35" s="281"/>
      <c r="L35" s="281"/>
      <c r="M35" s="281"/>
      <c r="N35" s="281"/>
      <c r="O35" s="118"/>
    </row>
    <row r="36" spans="1:15" ht="15">
      <c r="A36" s="265" t="s">
        <v>184</v>
      </c>
      <c r="B36" s="262">
        <v>0</v>
      </c>
      <c r="C36" s="253"/>
      <c r="D36" s="253"/>
      <c r="E36" s="276"/>
      <c r="F36" s="264"/>
      <c r="G36" s="218"/>
      <c r="H36" s="222"/>
      <c r="I36" s="220"/>
      <c r="J36" s="281"/>
      <c r="K36" s="281"/>
      <c r="L36" s="281"/>
      <c r="M36" s="281"/>
      <c r="N36" s="281"/>
      <c r="O36" s="118"/>
    </row>
    <row r="37" spans="1:15" ht="15">
      <c r="A37" s="266"/>
      <c r="B37" s="267"/>
      <c r="C37" s="274"/>
      <c r="D37" s="278"/>
      <c r="E37" s="274"/>
      <c r="F37" s="259"/>
      <c r="G37" s="217"/>
      <c r="H37" s="220"/>
      <c r="I37" s="220"/>
      <c r="J37" s="281"/>
      <c r="K37" s="281"/>
      <c r="L37" s="281"/>
      <c r="M37" s="281"/>
      <c r="N37" s="281"/>
      <c r="O37" s="118"/>
    </row>
    <row r="38" spans="1:15" ht="15">
      <c r="A38" s="265" t="s">
        <v>19</v>
      </c>
      <c r="B38" s="267"/>
      <c r="C38" s="274"/>
      <c r="D38" s="274"/>
      <c r="E38" s="274"/>
      <c r="F38" s="259"/>
      <c r="G38" s="217"/>
      <c r="H38" s="220"/>
      <c r="I38" s="220"/>
      <c r="J38" s="281"/>
      <c r="K38" s="281"/>
      <c r="L38" s="281"/>
      <c r="M38" s="281"/>
      <c r="N38" s="281"/>
      <c r="O38" s="118"/>
    </row>
    <row r="39" spans="1:15" ht="15">
      <c r="A39" s="265"/>
      <c r="B39" s="265"/>
      <c r="C39" s="253"/>
      <c r="D39" s="253"/>
      <c r="E39" s="253"/>
      <c r="F39" s="264"/>
      <c r="G39" s="218"/>
      <c r="H39" s="222"/>
      <c r="I39" s="222"/>
      <c r="J39" s="251"/>
      <c r="K39" s="281"/>
      <c r="L39" s="281"/>
      <c r="M39" s="281"/>
      <c r="N39" s="281"/>
      <c r="O39" s="118"/>
    </row>
    <row r="40" spans="1:15" ht="15">
      <c r="A40" s="265" t="s">
        <v>20</v>
      </c>
      <c r="B40" s="264">
        <v>0</v>
      </c>
      <c r="C40" s="253"/>
      <c r="D40" s="253"/>
      <c r="E40" s="253"/>
      <c r="F40" s="264"/>
      <c r="G40" s="218"/>
      <c r="H40" s="222"/>
      <c r="I40" s="222"/>
      <c r="J40" s="251"/>
      <c r="K40" s="281"/>
      <c r="L40" s="281"/>
      <c r="M40" s="281"/>
      <c r="N40" s="281"/>
      <c r="O40" s="118"/>
    </row>
    <row r="41" spans="1:15" ht="15">
      <c r="A41" s="265" t="s">
        <v>21</v>
      </c>
      <c r="B41" s="264">
        <v>0.0001</v>
      </c>
      <c r="C41" s="253"/>
      <c r="D41" s="253"/>
      <c r="E41" s="253"/>
      <c r="F41" s="264"/>
      <c r="G41" s="218"/>
      <c r="H41" s="222"/>
      <c r="I41" s="222"/>
      <c r="J41" s="251"/>
      <c r="K41" s="281"/>
      <c r="L41" s="281"/>
      <c r="M41" s="281"/>
      <c r="N41" s="281"/>
      <c r="O41" s="118"/>
    </row>
    <row r="42" spans="1:15" ht="15">
      <c r="A42" s="265" t="s">
        <v>22</v>
      </c>
      <c r="B42" s="264">
        <v>0.0002</v>
      </c>
      <c r="C42" s="253"/>
      <c r="D42" s="253"/>
      <c r="E42" s="253"/>
      <c r="F42" s="264"/>
      <c r="G42" s="218"/>
      <c r="H42" s="222"/>
      <c r="I42" s="222"/>
      <c r="J42" s="251"/>
      <c r="K42" s="281"/>
      <c r="L42" s="281"/>
      <c r="M42" s="281"/>
      <c r="N42" s="281"/>
      <c r="O42" s="118"/>
    </row>
    <row r="43" spans="1:15" ht="15">
      <c r="A43" s="265" t="s">
        <v>23</v>
      </c>
      <c r="B43" s="264">
        <v>0.0009</v>
      </c>
      <c r="C43" s="253"/>
      <c r="D43" s="253"/>
      <c r="E43" s="253"/>
      <c r="F43" s="264"/>
      <c r="G43" s="218"/>
      <c r="H43" s="222"/>
      <c r="I43" s="222"/>
      <c r="J43" s="251"/>
      <c r="K43" s="281"/>
      <c r="L43" s="281"/>
      <c r="M43" s="281"/>
      <c r="N43" s="281"/>
      <c r="O43" s="118"/>
    </row>
    <row r="44" spans="1:15" ht="15">
      <c r="A44" s="265" t="s">
        <v>24</v>
      </c>
      <c r="B44" s="268">
        <f>B25</f>
        <v>0</v>
      </c>
      <c r="C44" s="253"/>
      <c r="D44" s="253"/>
      <c r="E44" s="253"/>
      <c r="F44" s="264"/>
      <c r="G44" s="218"/>
      <c r="H44" s="222"/>
      <c r="I44" s="222"/>
      <c r="J44" s="251"/>
      <c r="K44" s="281"/>
      <c r="L44" s="281"/>
      <c r="M44" s="281"/>
      <c r="N44" s="281"/>
      <c r="O44" s="118"/>
    </row>
    <row r="45" spans="1:15" ht="15">
      <c r="A45" s="265" t="s">
        <v>25</v>
      </c>
      <c r="B45" s="268">
        <f>B26</f>
        <v>0</v>
      </c>
      <c r="C45" s="253"/>
      <c r="D45" s="253"/>
      <c r="E45" s="253"/>
      <c r="F45" s="264"/>
      <c r="G45" s="218"/>
      <c r="H45" s="222"/>
      <c r="I45" s="222"/>
      <c r="J45" s="251"/>
      <c r="K45" s="281"/>
      <c r="L45" s="281"/>
      <c r="M45" s="281"/>
      <c r="N45" s="281"/>
      <c r="O45" s="118"/>
    </row>
    <row r="46" spans="1:15" ht="15">
      <c r="A46" s="265" t="s">
        <v>198</v>
      </c>
      <c r="B46" s="268">
        <f>B27</f>
        <v>0</v>
      </c>
      <c r="C46" s="253"/>
      <c r="D46" s="253"/>
      <c r="E46" s="253"/>
      <c r="F46" s="264"/>
      <c r="G46" s="218"/>
      <c r="H46" s="222"/>
      <c r="I46" s="222"/>
      <c r="J46" s="251"/>
      <c r="K46" s="281"/>
      <c r="L46" s="281"/>
      <c r="M46" s="281"/>
      <c r="N46" s="281"/>
      <c r="O46" s="118"/>
    </row>
    <row r="47" spans="1:15" ht="15">
      <c r="A47" s="265" t="s">
        <v>26</v>
      </c>
      <c r="B47" s="264">
        <v>0.007</v>
      </c>
      <c r="C47" s="253"/>
      <c r="D47" s="253"/>
      <c r="E47" s="253"/>
      <c r="F47" s="264"/>
      <c r="G47" s="218"/>
      <c r="H47" s="222"/>
      <c r="I47" s="222"/>
      <c r="J47" s="251"/>
      <c r="K47" s="281"/>
      <c r="L47" s="281"/>
      <c r="M47" s="281"/>
      <c r="N47" s="281"/>
      <c r="O47" s="118"/>
    </row>
    <row r="48" spans="1:15" ht="15">
      <c r="A48" s="265" t="s">
        <v>158</v>
      </c>
      <c r="B48" s="264">
        <v>0.1436</v>
      </c>
      <c r="C48" s="253"/>
      <c r="D48" s="253"/>
      <c r="E48" s="253"/>
      <c r="F48" s="264"/>
      <c r="G48" s="218"/>
      <c r="H48" s="222"/>
      <c r="I48" s="222"/>
      <c r="J48" s="251"/>
      <c r="K48" s="281"/>
      <c r="L48" s="281"/>
      <c r="M48" s="281"/>
      <c r="N48" s="281"/>
      <c r="O48" s="118"/>
    </row>
    <row r="49" spans="1:15" ht="15">
      <c r="A49" s="265"/>
      <c r="B49" s="265"/>
      <c r="C49" s="253"/>
      <c r="D49" s="253"/>
      <c r="E49" s="253"/>
      <c r="F49" s="264"/>
      <c r="G49" s="218"/>
      <c r="H49" s="222"/>
      <c r="I49" s="222"/>
      <c r="J49" s="251"/>
      <c r="K49" s="281"/>
      <c r="L49" s="281"/>
      <c r="M49" s="281"/>
      <c r="N49" s="281"/>
      <c r="O49" s="118"/>
    </row>
    <row r="50" spans="1:15" ht="15">
      <c r="A50" s="265" t="s">
        <v>27</v>
      </c>
      <c r="B50" s="265"/>
      <c r="C50" s="253"/>
      <c r="D50" s="253"/>
      <c r="E50" s="253"/>
      <c r="F50" s="264"/>
      <c r="G50" s="218"/>
      <c r="H50" s="222"/>
      <c r="I50" s="222"/>
      <c r="J50" s="251"/>
      <c r="K50" s="281"/>
      <c r="L50" s="281"/>
      <c r="M50" s="281"/>
      <c r="N50" s="281"/>
      <c r="O50" s="118"/>
    </row>
    <row r="51" spans="1:15" ht="15">
      <c r="A51" s="265"/>
      <c r="B51" s="265"/>
      <c r="C51" s="253"/>
      <c r="D51" s="253"/>
      <c r="E51" s="253"/>
      <c r="F51" s="264"/>
      <c r="G51" s="218"/>
      <c r="H51" s="222"/>
      <c r="I51" s="222"/>
      <c r="J51" s="251"/>
      <c r="K51" s="281"/>
      <c r="L51" s="281"/>
      <c r="M51" s="281"/>
      <c r="N51" s="281"/>
      <c r="O51" s="118"/>
    </row>
    <row r="52" spans="1:15" ht="15">
      <c r="A52" s="265" t="s">
        <v>28</v>
      </c>
      <c r="B52" s="264">
        <v>0.193</v>
      </c>
      <c r="C52" s="253"/>
      <c r="D52" s="253"/>
      <c r="E52" s="253"/>
      <c r="F52" s="264"/>
      <c r="G52" s="218"/>
      <c r="H52" s="222"/>
      <c r="I52" s="222"/>
      <c r="J52" s="251"/>
      <c r="K52" s="281"/>
      <c r="L52" s="281"/>
      <c r="M52" s="281"/>
      <c r="N52" s="281"/>
      <c r="O52" s="118"/>
    </row>
    <row r="53" spans="1:15" ht="15">
      <c r="A53" s="265" t="s">
        <v>29</v>
      </c>
      <c r="B53" s="264">
        <v>0.0276</v>
      </c>
      <c r="C53" s="253"/>
      <c r="D53" s="253"/>
      <c r="E53" s="253"/>
      <c r="F53" s="264"/>
      <c r="G53" s="218"/>
      <c r="H53" s="222"/>
      <c r="I53" s="222"/>
      <c r="J53" s="251"/>
      <c r="K53" s="281"/>
      <c r="L53" s="281"/>
      <c r="M53" s="281"/>
      <c r="N53" s="281"/>
      <c r="O53" s="118"/>
    </row>
    <row r="54" spans="1:15" ht="15">
      <c r="A54" s="265" t="s">
        <v>30</v>
      </c>
      <c r="B54" s="264">
        <v>0.1956</v>
      </c>
      <c r="C54" s="253"/>
      <c r="D54" s="253"/>
      <c r="E54" s="253"/>
      <c r="F54" s="264"/>
      <c r="G54" s="218"/>
      <c r="H54" s="222"/>
      <c r="I54" s="222"/>
      <c r="J54" s="251"/>
      <c r="K54" s="281"/>
      <c r="L54" s="281"/>
      <c r="M54" s="281"/>
      <c r="N54" s="281"/>
      <c r="O54" s="118"/>
    </row>
    <row r="55" spans="1:15" ht="15">
      <c r="A55" s="265" t="s">
        <v>31</v>
      </c>
      <c r="B55" s="264">
        <v>0.6927</v>
      </c>
      <c r="C55" s="253"/>
      <c r="D55" s="253"/>
      <c r="E55" s="253"/>
      <c r="F55" s="264"/>
      <c r="G55" s="218"/>
      <c r="H55" s="222"/>
      <c r="I55" s="222"/>
      <c r="J55" s="251"/>
      <c r="K55" s="281"/>
      <c r="L55" s="281"/>
      <c r="M55" s="281"/>
      <c r="N55" s="281"/>
      <c r="O55" s="118"/>
    </row>
    <row r="56" spans="1:15" ht="15">
      <c r="A56" s="265"/>
      <c r="B56" s="265"/>
      <c r="C56" s="264"/>
      <c r="D56" s="264"/>
      <c r="E56" s="264"/>
      <c r="F56" s="264"/>
      <c r="G56" s="218"/>
      <c r="H56" s="222"/>
      <c r="I56" s="222"/>
      <c r="J56" s="251"/>
      <c r="K56" s="281"/>
      <c r="L56" s="281"/>
      <c r="M56" s="281"/>
      <c r="N56" s="281"/>
      <c r="O56" s="118"/>
    </row>
    <row r="57" spans="1:15" ht="15">
      <c r="A57" s="265" t="s">
        <v>32</v>
      </c>
      <c r="B57" s="269">
        <v>0.034</v>
      </c>
      <c r="C57" s="264"/>
      <c r="D57" s="270"/>
      <c r="E57" s="270"/>
      <c r="F57" s="264"/>
      <c r="G57" s="218"/>
      <c r="H57" s="222"/>
      <c r="I57" s="222"/>
      <c r="J57" s="251"/>
      <c r="K57" s="281"/>
      <c r="L57" s="281"/>
      <c r="M57" s="281"/>
      <c r="N57" s="281"/>
      <c r="O57" s="118"/>
    </row>
    <row r="58" spans="1:15" ht="15">
      <c r="A58" s="265"/>
      <c r="B58" s="265"/>
      <c r="C58" s="264"/>
      <c r="D58" s="264"/>
      <c r="E58" s="264"/>
      <c r="F58" s="264"/>
      <c r="G58" s="218"/>
      <c r="H58" s="222"/>
      <c r="I58" s="222"/>
      <c r="J58" s="251"/>
      <c r="K58" s="281"/>
      <c r="L58" s="281"/>
      <c r="M58" s="281"/>
      <c r="N58" s="281"/>
      <c r="O58" s="118"/>
    </row>
    <row r="59" spans="1:15" ht="15">
      <c r="A59" s="264" t="s">
        <v>183</v>
      </c>
      <c r="B59" s="264">
        <v>-0.0002</v>
      </c>
      <c r="C59" s="264"/>
      <c r="D59" s="264"/>
      <c r="E59" s="264">
        <v>0.0006</v>
      </c>
      <c r="F59" s="264"/>
      <c r="G59" s="218"/>
      <c r="H59" s="222"/>
      <c r="I59" s="222"/>
      <c r="J59" s="251"/>
      <c r="K59" s="281"/>
      <c r="L59" s="281"/>
      <c r="M59" s="281"/>
      <c r="N59" s="281"/>
      <c r="O59" s="118"/>
    </row>
    <row r="60" spans="1:15" ht="15">
      <c r="A60" s="264"/>
      <c r="B60" s="264"/>
      <c r="C60" s="264"/>
      <c r="D60" s="264"/>
      <c r="E60" s="264"/>
      <c r="F60" s="264"/>
      <c r="G60" s="218"/>
      <c r="H60" s="222"/>
      <c r="I60" s="222"/>
      <c r="J60" s="251"/>
      <c r="K60" s="281"/>
      <c r="L60" s="281"/>
      <c r="M60" s="281"/>
      <c r="N60" s="281"/>
      <c r="O60" s="118"/>
    </row>
    <row r="61" spans="1:15" ht="15">
      <c r="A61" s="264" t="s">
        <v>128</v>
      </c>
      <c r="B61" s="264"/>
      <c r="C61" s="264"/>
      <c r="D61" s="264"/>
      <c r="E61" s="264"/>
      <c r="F61" s="264"/>
      <c r="G61" s="218"/>
      <c r="H61" s="222"/>
      <c r="I61" s="222"/>
      <c r="J61" s="251"/>
      <c r="K61" s="281"/>
      <c r="L61" s="281"/>
      <c r="M61" s="281"/>
      <c r="N61" s="281"/>
      <c r="O61" s="118"/>
    </row>
    <row r="62" spans="1:15" ht="15">
      <c r="A62" s="264"/>
      <c r="B62" s="264"/>
      <c r="C62" s="264"/>
      <c r="D62" s="264"/>
      <c r="E62" s="264"/>
      <c r="F62" s="264"/>
      <c r="G62" s="218"/>
      <c r="H62" s="222"/>
      <c r="I62" s="222"/>
      <c r="J62" s="251"/>
      <c r="K62" s="281"/>
      <c r="L62" s="281"/>
      <c r="M62" s="281"/>
      <c r="N62" s="281"/>
      <c r="O62" s="118"/>
    </row>
    <row r="63" spans="1:15" ht="15">
      <c r="A63" s="271" t="s">
        <v>129</v>
      </c>
      <c r="B63" s="264">
        <v>-0.0532</v>
      </c>
      <c r="C63" s="264"/>
      <c r="D63" s="264"/>
      <c r="E63" s="264"/>
      <c r="F63" s="264"/>
      <c r="G63" s="238"/>
      <c r="H63" s="222"/>
      <c r="I63" s="222"/>
      <c r="J63" s="251"/>
      <c r="K63" s="281"/>
      <c r="L63" s="281"/>
      <c r="M63" s="281"/>
      <c r="N63" s="281"/>
      <c r="O63" s="118"/>
    </row>
    <row r="64" spans="1:15" ht="15">
      <c r="A64" s="271" t="s">
        <v>130</v>
      </c>
      <c r="B64" s="264">
        <v>-0.0299</v>
      </c>
      <c r="C64" s="264"/>
      <c r="D64" s="264"/>
      <c r="E64" s="264"/>
      <c r="F64" s="264"/>
      <c r="G64" s="238"/>
      <c r="H64" s="222"/>
      <c r="I64" s="222"/>
      <c r="J64" s="251"/>
      <c r="K64" s="281"/>
      <c r="L64" s="281"/>
      <c r="M64" s="281"/>
      <c r="N64" s="281"/>
      <c r="O64" s="118"/>
    </row>
    <row r="65" spans="1:15" ht="15">
      <c r="A65" s="271" t="s">
        <v>131</v>
      </c>
      <c r="B65" s="264">
        <v>0.0401</v>
      </c>
      <c r="C65" s="264"/>
      <c r="D65" s="264"/>
      <c r="E65" s="264"/>
      <c r="F65" s="264"/>
      <c r="G65" s="238"/>
      <c r="H65" s="222"/>
      <c r="I65" s="222"/>
      <c r="J65" s="251"/>
      <c r="K65" s="281"/>
      <c r="L65" s="281"/>
      <c r="M65" s="281"/>
      <c r="N65" s="281"/>
      <c r="O65" s="118"/>
    </row>
    <row r="66" spans="1:15" ht="15">
      <c r="A66" s="271" t="s">
        <v>132</v>
      </c>
      <c r="B66" s="264">
        <v>0.0256</v>
      </c>
      <c r="C66" s="264"/>
      <c r="D66" s="264"/>
      <c r="E66" s="264"/>
      <c r="F66" s="264"/>
      <c r="G66" s="238"/>
      <c r="H66" s="222"/>
      <c r="I66" s="222"/>
      <c r="J66" s="251"/>
      <c r="K66" s="281"/>
      <c r="L66" s="281"/>
      <c r="M66" s="281"/>
      <c r="N66" s="281"/>
      <c r="O66" s="118"/>
    </row>
    <row r="67" spans="1:15" ht="15">
      <c r="A67" s="271" t="s">
        <v>195</v>
      </c>
      <c r="B67" s="264"/>
      <c r="C67" s="264"/>
      <c r="D67" s="264"/>
      <c r="E67" s="264"/>
      <c r="F67" s="264"/>
      <c r="G67" s="238"/>
      <c r="H67" s="222"/>
      <c r="I67" s="222"/>
      <c r="J67" s="251"/>
      <c r="K67" s="281"/>
      <c r="L67" s="281"/>
      <c r="M67" s="281"/>
      <c r="N67" s="281"/>
      <c r="O67" s="118"/>
    </row>
    <row r="68" spans="1:15" ht="15">
      <c r="A68" s="271" t="s">
        <v>196</v>
      </c>
      <c r="B68" s="264"/>
      <c r="C68" s="264"/>
      <c r="D68" s="264"/>
      <c r="E68" s="264"/>
      <c r="F68" s="264"/>
      <c r="G68" s="238"/>
      <c r="H68" s="222"/>
      <c r="I68" s="222"/>
      <c r="J68" s="251"/>
      <c r="K68" s="281"/>
      <c r="L68" s="281"/>
      <c r="M68" s="281"/>
      <c r="N68" s="281"/>
      <c r="O68" s="118"/>
    </row>
    <row r="69" spans="1:15" ht="15">
      <c r="A69" s="271" t="s">
        <v>133</v>
      </c>
      <c r="B69" s="264">
        <v>0.0146</v>
      </c>
      <c r="C69" s="264"/>
      <c r="D69" s="264"/>
      <c r="E69" s="264"/>
      <c r="F69" s="264"/>
      <c r="G69" s="238"/>
      <c r="H69" s="222"/>
      <c r="I69" s="222"/>
      <c r="J69" s="251"/>
      <c r="K69" s="281"/>
      <c r="L69" s="281"/>
      <c r="M69" s="281"/>
      <c r="N69" s="281"/>
      <c r="O69" s="118"/>
    </row>
    <row r="70" spans="1:15" ht="15">
      <c r="A70" s="271" t="s">
        <v>134</v>
      </c>
      <c r="B70" s="264">
        <v>0.0181</v>
      </c>
      <c r="C70" s="264"/>
      <c r="D70" s="264"/>
      <c r="E70" s="264"/>
      <c r="F70" s="264"/>
      <c r="G70" s="238"/>
      <c r="H70" s="222"/>
      <c r="I70" s="222"/>
      <c r="J70" s="251"/>
      <c r="K70" s="281"/>
      <c r="L70" s="281"/>
      <c r="M70" s="281"/>
      <c r="N70" s="281"/>
      <c r="O70" s="118"/>
    </row>
    <row r="71" spans="1:15" ht="15">
      <c r="A71" s="271" t="s">
        <v>126</v>
      </c>
      <c r="B71" s="264">
        <v>0.0217</v>
      </c>
      <c r="C71" s="264"/>
      <c r="D71" s="264"/>
      <c r="E71" s="264"/>
      <c r="F71" s="264"/>
      <c r="G71" s="238"/>
      <c r="H71" s="222"/>
      <c r="I71" s="222"/>
      <c r="J71" s="251"/>
      <c r="K71" s="281"/>
      <c r="L71" s="281"/>
      <c r="M71" s="281"/>
      <c r="N71" s="281"/>
      <c r="O71" s="118"/>
    </row>
    <row r="72" spans="1:15" ht="15">
      <c r="A72" s="264" t="s">
        <v>136</v>
      </c>
      <c r="B72" s="264"/>
      <c r="C72" s="264"/>
      <c r="D72" s="264"/>
      <c r="E72" s="264"/>
      <c r="F72" s="264"/>
      <c r="G72" s="218"/>
      <c r="H72" s="222"/>
      <c r="I72" s="222"/>
      <c r="J72" s="251"/>
      <c r="K72" s="281"/>
      <c r="L72" s="281"/>
      <c r="M72" s="281"/>
      <c r="N72" s="281"/>
      <c r="O72" s="118"/>
    </row>
    <row r="73" spans="1:15" ht="15">
      <c r="A73" s="264"/>
      <c r="B73" s="264"/>
      <c r="C73" s="264"/>
      <c r="D73" s="264"/>
      <c r="E73" s="264"/>
      <c r="F73" s="264"/>
      <c r="G73" s="218"/>
      <c r="H73" s="222"/>
      <c r="I73" s="222"/>
      <c r="J73" s="251"/>
      <c r="K73" s="281"/>
      <c r="L73" s="281"/>
      <c r="M73" s="281"/>
      <c r="N73" s="281"/>
      <c r="O73" s="118"/>
    </row>
    <row r="74" spans="1:15" ht="15">
      <c r="A74" s="271" t="s">
        <v>137</v>
      </c>
      <c r="B74" s="272">
        <v>0.13</v>
      </c>
      <c r="C74" s="264"/>
      <c r="D74" s="264"/>
      <c r="E74" s="264"/>
      <c r="F74" s="264"/>
      <c r="G74" s="218"/>
      <c r="H74" s="222"/>
      <c r="I74" s="222"/>
      <c r="J74" s="251"/>
      <c r="K74" s="281"/>
      <c r="L74" s="281"/>
      <c r="M74" s="281"/>
      <c r="N74" s="281"/>
      <c r="O74" s="118"/>
    </row>
    <row r="75" spans="1:15" ht="15">
      <c r="A75" s="264"/>
      <c r="B75" s="264"/>
      <c r="C75" s="264"/>
      <c r="D75" s="264"/>
      <c r="E75" s="264"/>
      <c r="F75" s="264"/>
      <c r="G75" s="218"/>
      <c r="H75" s="222"/>
      <c r="I75" s="222"/>
      <c r="J75" s="251"/>
      <c r="K75" s="281"/>
      <c r="L75" s="281"/>
      <c r="M75" s="281"/>
      <c r="N75" s="281"/>
      <c r="O75" s="118"/>
    </row>
    <row r="76" spans="1:15" ht="15.75">
      <c r="A76" s="264"/>
      <c r="B76" s="264"/>
      <c r="C76" s="264"/>
      <c r="D76" s="264"/>
      <c r="E76" s="273" t="s">
        <v>9</v>
      </c>
      <c r="F76" s="273" t="s">
        <v>169</v>
      </c>
      <c r="G76" s="218"/>
      <c r="H76" s="222"/>
      <c r="I76" s="222"/>
      <c r="J76" s="251"/>
      <c r="K76" s="281"/>
      <c r="L76" s="281"/>
      <c r="M76" s="281"/>
      <c r="N76" s="281"/>
      <c r="O76" s="118"/>
    </row>
    <row r="77" spans="1:15" ht="15">
      <c r="A77" s="264" t="s">
        <v>160</v>
      </c>
      <c r="B77" s="262">
        <f>ROUND(B81/168.3*B9,4)</f>
        <v>0</v>
      </c>
      <c r="C77" s="264"/>
      <c r="D77" s="264"/>
      <c r="E77" s="262">
        <f>ROUND(E81/168.3*B9,4)</f>
        <v>0</v>
      </c>
      <c r="F77" s="264">
        <f>ROUND(F81/168.3*B9,4)</f>
        <v>0</v>
      </c>
      <c r="G77" s="218"/>
      <c r="H77" s="222"/>
      <c r="I77" s="222"/>
      <c r="J77" s="251"/>
      <c r="K77" s="281"/>
      <c r="L77" s="281"/>
      <c r="M77" s="281"/>
      <c r="N77" s="281"/>
      <c r="O77" s="118"/>
    </row>
    <row r="78" spans="1:15" ht="15">
      <c r="A78" s="264"/>
      <c r="B78" s="264"/>
      <c r="C78" s="264"/>
      <c r="D78" s="264"/>
      <c r="E78" s="264"/>
      <c r="F78" s="264"/>
      <c r="G78" s="218"/>
      <c r="H78" s="222"/>
      <c r="I78" s="222"/>
      <c r="J78" s="251"/>
      <c r="K78" s="281"/>
      <c r="L78" s="281"/>
      <c r="M78" s="281"/>
      <c r="N78" s="281"/>
      <c r="O78" s="118"/>
    </row>
    <row r="79" spans="1:15" ht="15">
      <c r="A79" s="264" t="s">
        <v>141</v>
      </c>
      <c r="B79" s="270">
        <v>0.027</v>
      </c>
      <c r="C79" s="264"/>
      <c r="D79" s="264"/>
      <c r="E79" s="270">
        <v>0.025</v>
      </c>
      <c r="F79" s="270">
        <v>0.035</v>
      </c>
      <c r="G79" s="218"/>
      <c r="H79" s="222"/>
      <c r="I79" s="222"/>
      <c r="J79" s="251"/>
      <c r="K79" s="281"/>
      <c r="L79" s="281"/>
      <c r="M79" s="281"/>
      <c r="N79" s="281"/>
      <c r="O79" s="118"/>
    </row>
    <row r="80" spans="1:15" ht="15">
      <c r="A80" s="264"/>
      <c r="B80" s="264"/>
      <c r="C80" s="264"/>
      <c r="D80" s="264"/>
      <c r="E80" s="264"/>
      <c r="F80" s="264"/>
      <c r="G80" s="218"/>
      <c r="H80" s="222"/>
      <c r="I80" s="222"/>
      <c r="J80" s="251"/>
      <c r="K80" s="281"/>
      <c r="L80" s="281"/>
      <c r="M80" s="281"/>
      <c r="N80" s="281"/>
      <c r="O80" s="118"/>
    </row>
    <row r="81" spans="1:15" ht="15">
      <c r="A81" s="264" t="s">
        <v>161</v>
      </c>
      <c r="B81" s="264">
        <v>0.0909</v>
      </c>
      <c r="C81" s="264"/>
      <c r="D81" s="264"/>
      <c r="E81" s="264">
        <v>0.0909</v>
      </c>
      <c r="F81" s="264">
        <v>0.1243</v>
      </c>
      <c r="G81" s="218"/>
      <c r="H81" s="222"/>
      <c r="I81" s="222"/>
      <c r="J81" s="251"/>
      <c r="K81" s="281"/>
      <c r="L81" s="281"/>
      <c r="M81" s="281"/>
      <c r="N81" s="281"/>
      <c r="O81" s="118"/>
    </row>
    <row r="82" spans="1:15" ht="15">
      <c r="A82" s="264"/>
      <c r="B82" s="264"/>
      <c r="C82" s="264"/>
      <c r="D82" s="264"/>
      <c r="E82" s="264"/>
      <c r="F82" s="264"/>
      <c r="G82" s="218"/>
      <c r="H82" s="222"/>
      <c r="I82" s="222"/>
      <c r="J82" s="251"/>
      <c r="K82" s="281"/>
      <c r="L82" s="281"/>
      <c r="M82" s="281"/>
      <c r="N82" s="281"/>
      <c r="O82" s="118"/>
    </row>
    <row r="83" spans="1:15" ht="15">
      <c r="A83" s="253"/>
      <c r="B83" s="253"/>
      <c r="C83" s="253"/>
      <c r="D83" s="253"/>
      <c r="E83" s="253"/>
      <c r="F83" s="218"/>
      <c r="G83" s="218"/>
      <c r="H83" s="222"/>
      <c r="I83" s="222"/>
      <c r="J83" s="251"/>
      <c r="K83" s="281"/>
      <c r="L83" s="281"/>
      <c r="M83" s="281"/>
      <c r="N83" s="281"/>
      <c r="O83" s="118"/>
    </row>
    <row r="84" spans="1:15" ht="15">
      <c r="A84" s="253"/>
      <c r="B84" s="253"/>
      <c r="C84" s="253"/>
      <c r="D84" s="253"/>
      <c r="E84" s="253"/>
      <c r="F84" s="218"/>
      <c r="G84" s="218"/>
      <c r="H84" s="218"/>
      <c r="I84" s="222"/>
      <c r="J84" s="251"/>
      <c r="K84" s="281"/>
      <c r="L84" s="281"/>
      <c r="M84" s="281"/>
      <c r="N84" s="281"/>
      <c r="O84" s="118"/>
    </row>
    <row r="85" spans="1:15" ht="15">
      <c r="A85" s="253"/>
      <c r="B85" s="253"/>
      <c r="C85" s="253"/>
      <c r="D85" s="253"/>
      <c r="E85" s="253"/>
      <c r="F85" s="218"/>
      <c r="G85" s="218"/>
      <c r="H85" s="218"/>
      <c r="I85" s="222"/>
      <c r="J85" s="251"/>
      <c r="K85" s="281"/>
      <c r="L85" s="281"/>
      <c r="M85" s="281"/>
      <c r="N85" s="281"/>
      <c r="O85" s="118"/>
    </row>
    <row r="86" spans="1:15" ht="15">
      <c r="A86" s="219"/>
      <c r="B86" s="215"/>
      <c r="C86" s="215"/>
      <c r="D86" s="217"/>
      <c r="E86" s="217"/>
      <c r="F86" s="217"/>
      <c r="G86" s="217"/>
      <c r="H86" s="217"/>
      <c r="I86" s="220"/>
      <c r="J86" s="281"/>
      <c r="K86" s="281"/>
      <c r="L86" s="281"/>
      <c r="M86" s="281"/>
      <c r="N86" s="281"/>
      <c r="O86" s="118"/>
    </row>
    <row r="87" spans="1:15" ht="15">
      <c r="A87" s="219"/>
      <c r="B87" s="215"/>
      <c r="C87" s="215"/>
      <c r="D87" s="217"/>
      <c r="E87" s="217"/>
      <c r="F87" s="217"/>
      <c r="G87" s="217"/>
      <c r="H87" s="217"/>
      <c r="I87" s="217"/>
      <c r="J87" s="281"/>
      <c r="K87" s="281"/>
      <c r="L87" s="281"/>
      <c r="M87" s="281"/>
      <c r="N87" s="281"/>
      <c r="O87" s="118"/>
    </row>
    <row r="88" spans="1:15" ht="15">
      <c r="A88" s="219"/>
      <c r="B88" s="215"/>
      <c r="C88" s="215"/>
      <c r="D88" s="217"/>
      <c r="E88" s="217"/>
      <c r="F88" s="217"/>
      <c r="G88" s="217"/>
      <c r="H88" s="217"/>
      <c r="I88" s="217"/>
      <c r="J88" s="281"/>
      <c r="K88" s="281"/>
      <c r="L88" s="281"/>
      <c r="M88" s="281"/>
      <c r="N88" s="281"/>
      <c r="O88" s="118"/>
    </row>
    <row r="89" spans="1:15" ht="15">
      <c r="A89" s="232"/>
      <c r="B89" s="245"/>
      <c r="C89" s="245"/>
      <c r="D89" s="220"/>
      <c r="E89" s="220"/>
      <c r="F89" s="220"/>
      <c r="G89" s="220"/>
      <c r="H89" s="220"/>
      <c r="I89" s="217"/>
      <c r="J89" s="281"/>
      <c r="K89" s="281"/>
      <c r="L89" s="281"/>
      <c r="M89" s="281"/>
      <c r="N89" s="281"/>
      <c r="O89" s="118"/>
    </row>
    <row r="90" spans="1:15" ht="15">
      <c r="A90" s="246"/>
      <c r="B90" s="247"/>
      <c r="C90" s="247"/>
      <c r="D90" s="217"/>
      <c r="E90" s="217"/>
      <c r="F90" s="217"/>
      <c r="G90" s="217"/>
      <c r="H90" s="217"/>
      <c r="I90" s="217"/>
      <c r="J90" s="281"/>
      <c r="K90" s="281"/>
      <c r="L90" s="281"/>
      <c r="M90" s="281"/>
      <c r="N90" s="281"/>
      <c r="O90" s="118"/>
    </row>
    <row r="91" spans="1:15" ht="15">
      <c r="A91" s="246"/>
      <c r="B91" s="247"/>
      <c r="C91" s="247"/>
      <c r="D91" s="217"/>
      <c r="E91" s="217"/>
      <c r="F91" s="217"/>
      <c r="G91" s="217"/>
      <c r="H91" s="217"/>
      <c r="I91" s="217"/>
      <c r="J91" s="281"/>
      <c r="K91" s="281"/>
      <c r="L91" s="281"/>
      <c r="M91" s="281"/>
      <c r="N91" s="281"/>
      <c r="O91" s="118"/>
    </row>
    <row r="92" spans="1:15" ht="15">
      <c r="A92" s="246"/>
      <c r="B92" s="247"/>
      <c r="C92" s="247"/>
      <c r="D92" s="217"/>
      <c r="E92" s="217"/>
      <c r="F92" s="217"/>
      <c r="G92" s="217"/>
      <c r="H92" s="217"/>
      <c r="I92" s="217"/>
      <c r="J92" s="281"/>
      <c r="K92" s="281"/>
      <c r="L92" s="281"/>
      <c r="M92" s="281"/>
      <c r="N92" s="281"/>
      <c r="O92" s="118"/>
    </row>
    <row r="93" spans="1:15" ht="15">
      <c r="A93" s="246"/>
      <c r="B93" s="247"/>
      <c r="C93" s="247"/>
      <c r="D93" s="217"/>
      <c r="E93" s="217"/>
      <c r="F93" s="217"/>
      <c r="G93" s="217"/>
      <c r="H93" s="217"/>
      <c r="I93" s="217"/>
      <c r="J93" s="281"/>
      <c r="K93" s="281"/>
      <c r="L93" s="281"/>
      <c r="M93" s="281"/>
      <c r="N93" s="281"/>
      <c r="O93" s="118"/>
    </row>
    <row r="94" spans="1:15" ht="15">
      <c r="A94" s="246"/>
      <c r="B94" s="247"/>
      <c r="C94" s="247"/>
      <c r="D94" s="247"/>
      <c r="E94" s="247"/>
      <c r="F94" s="247"/>
      <c r="G94" s="247"/>
      <c r="H94" s="247"/>
      <c r="I94" s="247"/>
      <c r="J94" s="281"/>
      <c r="K94" s="281"/>
      <c r="L94" s="281"/>
      <c r="M94" s="281"/>
      <c r="N94" s="281"/>
      <c r="O94" s="118"/>
    </row>
    <row r="95" spans="1:15" ht="15">
      <c r="A95" s="246"/>
      <c r="B95" s="247"/>
      <c r="C95" s="247"/>
      <c r="D95" s="247"/>
      <c r="E95" s="247"/>
      <c r="F95" s="247"/>
      <c r="G95" s="247"/>
      <c r="H95" s="247"/>
      <c r="I95" s="247"/>
      <c r="J95" s="281"/>
      <c r="K95" s="281"/>
      <c r="L95" s="281"/>
      <c r="M95" s="281"/>
      <c r="N95" s="121"/>
      <c r="O95" s="118"/>
    </row>
    <row r="96" spans="1:15" ht="15">
      <c r="A96" s="246"/>
      <c r="B96" s="247"/>
      <c r="C96" s="247"/>
      <c r="D96" s="247"/>
      <c r="E96" s="247"/>
      <c r="F96" s="247"/>
      <c r="G96" s="247"/>
      <c r="H96" s="247"/>
      <c r="I96" s="247"/>
      <c r="J96" s="281"/>
      <c r="K96" s="281"/>
      <c r="L96" s="281"/>
      <c r="M96" s="281"/>
      <c r="N96" s="121"/>
      <c r="O96" s="118"/>
    </row>
    <row r="97" spans="1:15" ht="15">
      <c r="A97" s="246"/>
      <c r="B97" s="247"/>
      <c r="C97" s="247"/>
      <c r="D97" s="247"/>
      <c r="E97" s="247"/>
      <c r="F97" s="247"/>
      <c r="G97" s="247"/>
      <c r="H97" s="247"/>
      <c r="I97" s="247"/>
      <c r="J97" s="281"/>
      <c r="K97" s="281"/>
      <c r="L97" s="281"/>
      <c r="M97" s="281"/>
      <c r="N97" s="121"/>
      <c r="O97" s="118"/>
    </row>
    <row r="98" spans="1:15" ht="15">
      <c r="A98" s="246"/>
      <c r="B98" s="247"/>
      <c r="C98" s="247"/>
      <c r="D98" s="247"/>
      <c r="E98" s="247"/>
      <c r="F98" s="247"/>
      <c r="G98" s="247"/>
      <c r="H98" s="247"/>
      <c r="I98" s="247"/>
      <c r="J98" s="281"/>
      <c r="K98" s="281"/>
      <c r="L98" s="281"/>
      <c r="M98" s="281"/>
      <c r="N98" s="121"/>
      <c r="O98" s="118"/>
    </row>
    <row r="99" spans="1:15" ht="15">
      <c r="A99" s="246"/>
      <c r="B99" s="247"/>
      <c r="C99" s="247"/>
      <c r="D99" s="247"/>
      <c r="E99" s="247"/>
      <c r="F99" s="247"/>
      <c r="G99" s="247"/>
      <c r="H99" s="247"/>
      <c r="I99" s="247"/>
      <c r="J99" s="281"/>
      <c r="K99" s="281"/>
      <c r="L99" s="281"/>
      <c r="M99" s="281"/>
      <c r="N99" s="121"/>
      <c r="O99" s="118"/>
    </row>
    <row r="100" spans="1:15" ht="15">
      <c r="A100" s="246"/>
      <c r="B100" s="247"/>
      <c r="C100" s="247"/>
      <c r="D100" s="247"/>
      <c r="E100" s="247"/>
      <c r="F100" s="247"/>
      <c r="G100" s="247"/>
      <c r="H100" s="247"/>
      <c r="I100" s="247"/>
      <c r="J100" s="281"/>
      <c r="K100" s="281"/>
      <c r="L100" s="281"/>
      <c r="M100" s="281"/>
      <c r="N100" s="121"/>
      <c r="O100" s="118"/>
    </row>
    <row r="101" spans="1:15" ht="15">
      <c r="A101" s="246"/>
      <c r="B101" s="247"/>
      <c r="C101" s="247"/>
      <c r="D101" s="247"/>
      <c r="E101" s="247"/>
      <c r="F101" s="247"/>
      <c r="G101" s="247"/>
      <c r="H101" s="247"/>
      <c r="I101" s="247"/>
      <c r="J101" s="281"/>
      <c r="K101" s="281"/>
      <c r="L101" s="281"/>
      <c r="M101" s="281"/>
      <c r="N101" s="121"/>
      <c r="O101" s="118"/>
    </row>
    <row r="102" spans="1:15" ht="15">
      <c r="A102" s="246"/>
      <c r="B102" s="247"/>
      <c r="C102" s="247"/>
      <c r="D102" s="247"/>
      <c r="E102" s="247"/>
      <c r="F102" s="247"/>
      <c r="G102" s="247"/>
      <c r="H102" s="247"/>
      <c r="I102" s="247"/>
      <c r="J102" s="281"/>
      <c r="K102" s="281"/>
      <c r="L102" s="281"/>
      <c r="M102" s="281"/>
      <c r="N102" s="121"/>
      <c r="O102" s="118"/>
    </row>
    <row r="103" spans="1:15" ht="15">
      <c r="A103" s="246"/>
      <c r="B103" s="247"/>
      <c r="C103" s="247"/>
      <c r="D103" s="247"/>
      <c r="E103" s="247"/>
      <c r="F103" s="247"/>
      <c r="G103" s="247"/>
      <c r="H103" s="247"/>
      <c r="I103" s="247"/>
      <c r="J103" s="281"/>
      <c r="K103" s="281"/>
      <c r="L103" s="281"/>
      <c r="M103" s="281"/>
      <c r="N103" s="121"/>
      <c r="O103" s="118"/>
    </row>
    <row r="104" spans="1:15" ht="15">
      <c r="A104" s="246"/>
      <c r="B104" s="247"/>
      <c r="C104" s="247"/>
      <c r="D104" s="247"/>
      <c r="E104" s="247"/>
      <c r="F104" s="247"/>
      <c r="G104" s="247"/>
      <c r="H104" s="247"/>
      <c r="I104" s="247"/>
      <c r="J104" s="281"/>
      <c r="K104" s="281"/>
      <c r="L104" s="281"/>
      <c r="M104" s="281"/>
      <c r="N104" s="121"/>
      <c r="O104" s="118"/>
    </row>
    <row r="105" spans="1:15" ht="15">
      <c r="A105" s="246"/>
      <c r="B105" s="247"/>
      <c r="C105" s="247"/>
      <c r="D105" s="247"/>
      <c r="E105" s="247"/>
      <c r="F105" s="247"/>
      <c r="G105" s="247"/>
      <c r="H105" s="247"/>
      <c r="I105" s="247"/>
      <c r="J105" s="281"/>
      <c r="K105" s="281"/>
      <c r="L105" s="281"/>
      <c r="M105" s="281"/>
      <c r="N105" s="121"/>
      <c r="O105" s="118"/>
    </row>
    <row r="106" spans="1:15" ht="15">
      <c r="A106" s="246"/>
      <c r="B106" s="247"/>
      <c r="C106" s="247"/>
      <c r="D106" s="247"/>
      <c r="E106" s="247"/>
      <c r="F106" s="247"/>
      <c r="G106" s="247"/>
      <c r="H106" s="247"/>
      <c r="I106" s="247"/>
      <c r="J106" s="281"/>
      <c r="K106" s="281"/>
      <c r="L106" s="281"/>
      <c r="M106" s="281"/>
      <c r="N106" s="121"/>
      <c r="O106" s="118"/>
    </row>
    <row r="107" spans="1:15" ht="15">
      <c r="A107" s="246"/>
      <c r="B107" s="247"/>
      <c r="C107" s="247"/>
      <c r="D107" s="247"/>
      <c r="E107" s="247"/>
      <c r="F107" s="247"/>
      <c r="G107" s="247"/>
      <c r="H107" s="247"/>
      <c r="I107" s="247"/>
      <c r="J107" s="281"/>
      <c r="K107" s="281"/>
      <c r="L107" s="281"/>
      <c r="M107" s="281"/>
      <c r="N107" s="121"/>
      <c r="O107" s="118"/>
    </row>
    <row r="108" spans="1:15" ht="15">
      <c r="A108" s="246"/>
      <c r="B108" s="247"/>
      <c r="C108" s="247"/>
      <c r="D108" s="247"/>
      <c r="E108" s="247"/>
      <c r="F108" s="247"/>
      <c r="G108" s="247"/>
      <c r="H108" s="247"/>
      <c r="I108" s="247"/>
      <c r="J108" s="281"/>
      <c r="K108" s="281"/>
      <c r="L108" s="281"/>
      <c r="M108" s="281"/>
      <c r="N108" s="121"/>
      <c r="O108" s="118"/>
    </row>
    <row r="109" spans="1:15" ht="15">
      <c r="A109" s="246"/>
      <c r="B109" s="247"/>
      <c r="C109" s="247"/>
      <c r="D109" s="247"/>
      <c r="E109" s="247"/>
      <c r="F109" s="247"/>
      <c r="G109" s="247"/>
      <c r="H109" s="247"/>
      <c r="I109" s="247"/>
      <c r="J109" s="281"/>
      <c r="K109" s="281"/>
      <c r="L109" s="281"/>
      <c r="M109" s="281"/>
      <c r="N109" s="121"/>
      <c r="O109" s="118"/>
    </row>
    <row r="110" spans="1:15" ht="15">
      <c r="A110" s="246"/>
      <c r="B110" s="247"/>
      <c r="C110" s="247"/>
      <c r="D110" s="247"/>
      <c r="E110" s="247"/>
      <c r="F110" s="247"/>
      <c r="G110" s="247"/>
      <c r="H110" s="247"/>
      <c r="I110" s="247"/>
      <c r="J110" s="281"/>
      <c r="K110" s="281"/>
      <c r="L110" s="281"/>
      <c r="M110" s="281"/>
      <c r="N110" s="121"/>
      <c r="O110" s="118"/>
    </row>
    <row r="111" spans="1:15" ht="15">
      <c r="A111" s="246"/>
      <c r="B111" s="247"/>
      <c r="C111" s="247"/>
      <c r="D111" s="247"/>
      <c r="E111" s="247"/>
      <c r="F111" s="247"/>
      <c r="G111" s="247"/>
      <c r="H111" s="247"/>
      <c r="I111" s="247"/>
      <c r="J111" s="281"/>
      <c r="K111" s="281"/>
      <c r="L111" s="281"/>
      <c r="M111" s="281"/>
      <c r="N111" s="121"/>
      <c r="O111" s="118"/>
    </row>
    <row r="112" spans="1:15" ht="15">
      <c r="A112" s="246"/>
      <c r="B112" s="247"/>
      <c r="C112" s="247"/>
      <c r="D112" s="247"/>
      <c r="E112" s="247"/>
      <c r="F112" s="247"/>
      <c r="G112" s="247"/>
      <c r="H112" s="247"/>
      <c r="I112" s="247"/>
      <c r="J112" s="281"/>
      <c r="K112" s="281"/>
      <c r="L112" s="281"/>
      <c r="M112" s="281"/>
      <c r="N112" s="121"/>
      <c r="O112" s="118"/>
    </row>
    <row r="113" spans="1:15" ht="15">
      <c r="A113" s="246"/>
      <c r="B113" s="247"/>
      <c r="C113" s="247"/>
      <c r="D113" s="247"/>
      <c r="E113" s="247"/>
      <c r="F113" s="247"/>
      <c r="G113" s="247"/>
      <c r="H113" s="247"/>
      <c r="I113" s="247"/>
      <c r="J113" s="281"/>
      <c r="K113" s="281"/>
      <c r="L113" s="281"/>
      <c r="M113" s="281"/>
      <c r="N113" s="121"/>
      <c r="O113" s="118"/>
    </row>
    <row r="114" spans="1:15" ht="15">
      <c r="A114" s="246"/>
      <c r="B114" s="247"/>
      <c r="C114" s="247"/>
      <c r="D114" s="247"/>
      <c r="E114" s="247"/>
      <c r="F114" s="247"/>
      <c r="G114" s="247"/>
      <c r="H114" s="247"/>
      <c r="I114" s="247"/>
      <c r="J114" s="281"/>
      <c r="K114" s="281"/>
      <c r="L114" s="281"/>
      <c r="M114" s="281"/>
      <c r="N114" s="121"/>
      <c r="O114" s="118"/>
    </row>
    <row r="115" spans="1:15" ht="15">
      <c r="A115" s="246"/>
      <c r="B115" s="247"/>
      <c r="C115" s="247"/>
      <c r="D115" s="247"/>
      <c r="E115" s="247"/>
      <c r="F115" s="247"/>
      <c r="G115" s="247"/>
      <c r="H115" s="247"/>
      <c r="I115" s="247"/>
      <c r="J115" s="281"/>
      <c r="K115" s="281"/>
      <c r="L115" s="281"/>
      <c r="M115" s="281"/>
      <c r="N115" s="121"/>
      <c r="O115" s="118"/>
    </row>
    <row r="116" spans="1:15" ht="15">
      <c r="A116" s="246"/>
      <c r="B116" s="247"/>
      <c r="C116" s="247"/>
      <c r="D116" s="247"/>
      <c r="E116" s="247"/>
      <c r="F116" s="247"/>
      <c r="G116" s="247"/>
      <c r="H116" s="247"/>
      <c r="I116" s="247"/>
      <c r="J116" s="281"/>
      <c r="K116" s="281"/>
      <c r="L116" s="281"/>
      <c r="M116" s="281"/>
      <c r="N116" s="121"/>
      <c r="O116" s="118"/>
    </row>
    <row r="117" spans="1:15" ht="15">
      <c r="A117" s="246"/>
      <c r="B117" s="247"/>
      <c r="C117" s="247"/>
      <c r="D117" s="247"/>
      <c r="E117" s="247"/>
      <c r="F117" s="247"/>
      <c r="G117" s="247"/>
      <c r="H117" s="247"/>
      <c r="I117" s="247"/>
      <c r="J117" s="281"/>
      <c r="K117" s="281"/>
      <c r="L117" s="281"/>
      <c r="M117" s="281"/>
      <c r="N117" s="121"/>
      <c r="O117" s="118"/>
    </row>
    <row r="118" spans="1:15" ht="15">
      <c r="A118" s="246"/>
      <c r="B118" s="247"/>
      <c r="C118" s="247"/>
      <c r="D118" s="247"/>
      <c r="E118" s="247"/>
      <c r="F118" s="247"/>
      <c r="G118" s="247"/>
      <c r="H118" s="247"/>
      <c r="I118" s="247"/>
      <c r="J118" s="281"/>
      <c r="K118" s="281"/>
      <c r="L118" s="281"/>
      <c r="M118" s="281"/>
      <c r="N118" s="121"/>
      <c r="O118" s="118"/>
    </row>
    <row r="119" spans="1:15" ht="15">
      <c r="A119" s="246"/>
      <c r="B119" s="247"/>
      <c r="C119" s="247"/>
      <c r="D119" s="247"/>
      <c r="E119" s="247"/>
      <c r="F119" s="247"/>
      <c r="G119" s="247"/>
      <c r="H119" s="247"/>
      <c r="I119" s="247"/>
      <c r="J119" s="281"/>
      <c r="K119" s="281"/>
      <c r="L119" s="281"/>
      <c r="M119" s="281"/>
      <c r="N119" s="121"/>
      <c r="O119" s="118"/>
    </row>
    <row r="120" spans="1:15" ht="15">
      <c r="A120" s="246"/>
      <c r="B120" s="247"/>
      <c r="C120" s="247"/>
      <c r="D120" s="247"/>
      <c r="E120" s="247"/>
      <c r="F120" s="247"/>
      <c r="G120" s="247"/>
      <c r="H120" s="247"/>
      <c r="I120" s="247"/>
      <c r="J120" s="281"/>
      <c r="K120" s="281"/>
      <c r="L120" s="281"/>
      <c r="M120" s="281"/>
      <c r="N120" s="121"/>
      <c r="O120" s="118"/>
    </row>
    <row r="121" spans="1:15" ht="15">
      <c r="A121" s="246"/>
      <c r="B121" s="247"/>
      <c r="C121" s="247"/>
      <c r="D121" s="247"/>
      <c r="E121" s="247"/>
      <c r="F121" s="247"/>
      <c r="G121" s="247"/>
      <c r="H121" s="247"/>
      <c r="I121" s="247"/>
      <c r="J121" s="281"/>
      <c r="K121" s="281"/>
      <c r="L121" s="281"/>
      <c r="M121" s="281"/>
      <c r="N121" s="121"/>
      <c r="O121" s="118"/>
    </row>
    <row r="122" spans="1:15" ht="15">
      <c r="A122" s="246"/>
      <c r="B122" s="247"/>
      <c r="C122" s="247"/>
      <c r="D122" s="247"/>
      <c r="E122" s="247"/>
      <c r="F122" s="247"/>
      <c r="G122" s="247"/>
      <c r="H122" s="247"/>
      <c r="I122" s="247"/>
      <c r="J122" s="281"/>
      <c r="K122" s="281"/>
      <c r="L122" s="281"/>
      <c r="M122" s="281"/>
      <c r="N122" s="121"/>
      <c r="O122" s="118"/>
    </row>
    <row r="123" spans="1:15" ht="15">
      <c r="A123" s="246"/>
      <c r="B123" s="247"/>
      <c r="C123" s="247"/>
      <c r="D123" s="247"/>
      <c r="E123" s="247"/>
      <c r="F123" s="247"/>
      <c r="G123" s="247"/>
      <c r="H123" s="247"/>
      <c r="I123" s="247"/>
      <c r="J123" s="281"/>
      <c r="K123" s="281"/>
      <c r="L123" s="281"/>
      <c r="M123" s="281"/>
      <c r="N123" s="121"/>
      <c r="O123" s="118"/>
    </row>
    <row r="124" spans="1:15" ht="15">
      <c r="A124" s="246"/>
      <c r="B124" s="247"/>
      <c r="C124" s="247"/>
      <c r="D124" s="247"/>
      <c r="E124" s="247"/>
      <c r="F124" s="247"/>
      <c r="G124" s="247"/>
      <c r="H124" s="247"/>
      <c r="I124" s="247"/>
      <c r="J124" s="281"/>
      <c r="K124" s="281"/>
      <c r="L124" s="281"/>
      <c r="M124" s="281"/>
      <c r="N124" s="121"/>
      <c r="O124" s="118"/>
    </row>
    <row r="125" spans="1:15" ht="15">
      <c r="A125" s="246"/>
      <c r="B125" s="247"/>
      <c r="C125" s="247"/>
      <c r="D125" s="247"/>
      <c r="E125" s="247"/>
      <c r="F125" s="247"/>
      <c r="G125" s="247"/>
      <c r="H125" s="247"/>
      <c r="I125" s="247"/>
      <c r="J125" s="281"/>
      <c r="K125" s="281"/>
      <c r="L125" s="281"/>
      <c r="M125" s="281"/>
      <c r="N125" s="121"/>
      <c r="O125" s="118"/>
    </row>
    <row r="126" spans="1:15" ht="15">
      <c r="A126" s="246"/>
      <c r="B126" s="247"/>
      <c r="C126" s="247"/>
      <c r="D126" s="247"/>
      <c r="E126" s="247"/>
      <c r="F126" s="247"/>
      <c r="G126" s="247"/>
      <c r="H126" s="247"/>
      <c r="I126" s="247"/>
      <c r="J126" s="281"/>
      <c r="K126" s="281"/>
      <c r="L126" s="281"/>
      <c r="M126" s="281"/>
      <c r="N126" s="121"/>
      <c r="O126" s="118"/>
    </row>
    <row r="127" spans="1:15" ht="15">
      <c r="A127" s="246"/>
      <c r="B127" s="247"/>
      <c r="C127" s="247"/>
      <c r="D127" s="247"/>
      <c r="E127" s="247"/>
      <c r="F127" s="247"/>
      <c r="G127" s="247"/>
      <c r="H127" s="247"/>
      <c r="I127" s="247"/>
      <c r="J127" s="281"/>
      <c r="K127" s="281"/>
      <c r="L127" s="281"/>
      <c r="M127" s="281"/>
      <c r="N127" s="121"/>
      <c r="O127" s="118"/>
    </row>
    <row r="128" spans="1:15" ht="15">
      <c r="A128" s="246"/>
      <c r="B128" s="247"/>
      <c r="C128" s="247"/>
      <c r="D128" s="247"/>
      <c r="E128" s="247"/>
      <c r="F128" s="247"/>
      <c r="G128" s="247"/>
      <c r="H128" s="247"/>
      <c r="I128" s="247"/>
      <c r="J128" s="281"/>
      <c r="K128" s="281"/>
      <c r="L128" s="281"/>
      <c r="M128" s="281"/>
      <c r="N128" s="121"/>
      <c r="O128" s="118"/>
    </row>
    <row r="129" spans="1:15" ht="15">
      <c r="A129" s="246"/>
      <c r="B129" s="247"/>
      <c r="C129" s="247"/>
      <c r="D129" s="247"/>
      <c r="E129" s="247"/>
      <c r="F129" s="247"/>
      <c r="G129" s="247"/>
      <c r="H129" s="247"/>
      <c r="I129" s="247"/>
      <c r="J129" s="281"/>
      <c r="K129" s="281"/>
      <c r="L129" s="281"/>
      <c r="M129" s="281"/>
      <c r="N129" s="121"/>
      <c r="O129" s="118"/>
    </row>
    <row r="130" spans="1:15" ht="15">
      <c r="A130" s="246"/>
      <c r="B130" s="247"/>
      <c r="C130" s="247"/>
      <c r="D130" s="247"/>
      <c r="E130" s="247"/>
      <c r="F130" s="247"/>
      <c r="G130" s="247"/>
      <c r="H130" s="247"/>
      <c r="I130" s="247"/>
      <c r="J130" s="281"/>
      <c r="K130" s="281"/>
      <c r="L130" s="281"/>
      <c r="M130" s="281"/>
      <c r="N130" s="121"/>
      <c r="O130" s="118"/>
    </row>
    <row r="131" spans="1:15" ht="15">
      <c r="A131" s="246"/>
      <c r="B131" s="247"/>
      <c r="C131" s="247"/>
      <c r="D131" s="247"/>
      <c r="E131" s="247"/>
      <c r="F131" s="247"/>
      <c r="G131" s="247"/>
      <c r="H131" s="247"/>
      <c r="I131" s="247"/>
      <c r="J131" s="281"/>
      <c r="K131" s="281"/>
      <c r="L131" s="281"/>
      <c r="M131" s="281"/>
      <c r="N131" s="121"/>
      <c r="O131" s="118"/>
    </row>
    <row r="132" spans="1:15" ht="15">
      <c r="A132" s="246"/>
      <c r="B132" s="247"/>
      <c r="C132" s="247"/>
      <c r="D132" s="247"/>
      <c r="E132" s="247"/>
      <c r="F132" s="247"/>
      <c r="G132" s="247"/>
      <c r="H132" s="247"/>
      <c r="I132" s="247"/>
      <c r="J132" s="281"/>
      <c r="K132" s="281"/>
      <c r="L132" s="281"/>
      <c r="M132" s="281"/>
      <c r="N132" s="121"/>
      <c r="O132" s="118"/>
    </row>
    <row r="133" spans="1:15" ht="15">
      <c r="A133" s="246"/>
      <c r="B133" s="247"/>
      <c r="C133" s="247"/>
      <c r="D133" s="247"/>
      <c r="E133" s="247"/>
      <c r="F133" s="247"/>
      <c r="G133" s="247"/>
      <c r="H133" s="247"/>
      <c r="I133" s="247"/>
      <c r="J133" s="281"/>
      <c r="K133" s="281"/>
      <c r="L133" s="281"/>
      <c r="M133" s="281"/>
      <c r="N133" s="121"/>
      <c r="O133" s="118"/>
    </row>
    <row r="134" spans="1:15" ht="15">
      <c r="A134" s="246"/>
      <c r="B134" s="247"/>
      <c r="C134" s="247"/>
      <c r="D134" s="247"/>
      <c r="E134" s="247"/>
      <c r="F134" s="247"/>
      <c r="G134" s="247"/>
      <c r="H134" s="247"/>
      <c r="I134" s="247"/>
      <c r="J134" s="281"/>
      <c r="K134" s="281"/>
      <c r="L134" s="281"/>
      <c r="M134" s="281"/>
      <c r="N134" s="121"/>
      <c r="O134" s="118"/>
    </row>
    <row r="135" spans="1:15" ht="15">
      <c r="A135" s="246"/>
      <c r="B135" s="247"/>
      <c r="C135" s="247"/>
      <c r="D135" s="247"/>
      <c r="E135" s="247"/>
      <c r="F135" s="247"/>
      <c r="G135" s="247"/>
      <c r="H135" s="247"/>
      <c r="I135" s="247"/>
      <c r="J135" s="281"/>
      <c r="K135" s="281"/>
      <c r="L135" s="281"/>
      <c r="M135" s="281"/>
      <c r="N135" s="121"/>
      <c r="O135" s="118"/>
    </row>
    <row r="136" spans="1:15" ht="15">
      <c r="A136" s="246"/>
      <c r="B136" s="247"/>
      <c r="C136" s="247"/>
      <c r="D136" s="247"/>
      <c r="E136" s="247"/>
      <c r="F136" s="247"/>
      <c r="G136" s="247"/>
      <c r="H136" s="247"/>
      <c r="I136" s="247"/>
      <c r="J136" s="281"/>
      <c r="K136" s="281"/>
      <c r="L136" s="281"/>
      <c r="M136" s="281"/>
      <c r="N136" s="121"/>
      <c r="O136" s="118"/>
    </row>
    <row r="137" spans="1:15" ht="15">
      <c r="A137" s="246"/>
      <c r="B137" s="247"/>
      <c r="C137" s="247"/>
      <c r="D137" s="247"/>
      <c r="E137" s="247"/>
      <c r="F137" s="247"/>
      <c r="G137" s="247"/>
      <c r="H137" s="247"/>
      <c r="I137" s="247"/>
      <c r="J137" s="281"/>
      <c r="K137" s="281"/>
      <c r="L137" s="281"/>
      <c r="M137" s="281"/>
      <c r="N137" s="121"/>
      <c r="O137" s="118"/>
    </row>
    <row r="138" spans="1:15" ht="15">
      <c r="A138" s="246"/>
      <c r="B138" s="247"/>
      <c r="C138" s="247"/>
      <c r="D138" s="247"/>
      <c r="E138" s="247"/>
      <c r="F138" s="247"/>
      <c r="G138" s="247"/>
      <c r="H138" s="247"/>
      <c r="I138" s="247"/>
      <c r="J138" s="281"/>
      <c r="K138" s="281"/>
      <c r="L138" s="281"/>
      <c r="M138" s="281"/>
      <c r="N138" s="121"/>
      <c r="O138" s="118"/>
    </row>
    <row r="139" spans="1:15" ht="15">
      <c r="A139" s="246"/>
      <c r="B139" s="247"/>
      <c r="C139" s="247"/>
      <c r="D139" s="247"/>
      <c r="E139" s="247"/>
      <c r="F139" s="247"/>
      <c r="G139" s="247"/>
      <c r="H139" s="247"/>
      <c r="I139" s="247"/>
      <c r="J139" s="281"/>
      <c r="K139" s="281"/>
      <c r="L139" s="281"/>
      <c r="M139" s="281"/>
      <c r="N139" s="121"/>
      <c r="O139" s="118"/>
    </row>
    <row r="140" spans="1:15" ht="15">
      <c r="A140" s="246"/>
      <c r="B140" s="247"/>
      <c r="C140" s="247"/>
      <c r="D140" s="247"/>
      <c r="E140" s="247"/>
      <c r="F140" s="247"/>
      <c r="G140" s="247"/>
      <c r="H140" s="247"/>
      <c r="I140" s="247"/>
      <c r="J140" s="281"/>
      <c r="K140" s="281"/>
      <c r="L140" s="281"/>
      <c r="M140" s="281"/>
      <c r="N140" s="121"/>
      <c r="O140" s="118"/>
    </row>
    <row r="141" spans="1:15" ht="15">
      <c r="A141" s="246"/>
      <c r="B141" s="247"/>
      <c r="C141" s="247"/>
      <c r="D141" s="247"/>
      <c r="E141" s="247"/>
      <c r="F141" s="247"/>
      <c r="G141" s="247"/>
      <c r="H141" s="247"/>
      <c r="I141" s="247"/>
      <c r="J141" s="281"/>
      <c r="K141" s="281"/>
      <c r="L141" s="281"/>
      <c r="M141" s="281"/>
      <c r="N141" s="121"/>
      <c r="O141" s="118"/>
    </row>
    <row r="142" spans="1:15" ht="15">
      <c r="A142" s="246"/>
      <c r="B142" s="247"/>
      <c r="C142" s="247"/>
      <c r="D142" s="247"/>
      <c r="E142" s="247"/>
      <c r="F142" s="247"/>
      <c r="G142" s="247"/>
      <c r="H142" s="247"/>
      <c r="I142" s="247"/>
      <c r="J142" s="281"/>
      <c r="K142" s="281"/>
      <c r="L142" s="281"/>
      <c r="M142" s="281"/>
      <c r="N142" s="121"/>
      <c r="O142" s="118"/>
    </row>
    <row r="143" spans="1:15" ht="15">
      <c r="A143" s="246"/>
      <c r="B143" s="247"/>
      <c r="C143" s="247"/>
      <c r="D143" s="247"/>
      <c r="E143" s="247"/>
      <c r="F143" s="247"/>
      <c r="G143" s="247"/>
      <c r="H143" s="247"/>
      <c r="I143" s="247"/>
      <c r="J143" s="281"/>
      <c r="K143" s="281"/>
      <c r="L143" s="281"/>
      <c r="M143" s="281"/>
      <c r="N143" s="121"/>
      <c r="O143" s="118"/>
    </row>
    <row r="144" spans="1:15" ht="15">
      <c r="A144" s="246"/>
      <c r="B144" s="247"/>
      <c r="C144" s="247"/>
      <c r="D144" s="247"/>
      <c r="E144" s="247"/>
      <c r="F144" s="247"/>
      <c r="G144" s="247"/>
      <c r="H144" s="247"/>
      <c r="I144" s="247"/>
      <c r="J144" s="281"/>
      <c r="K144" s="281"/>
      <c r="L144" s="281"/>
      <c r="M144" s="281"/>
      <c r="N144" s="121"/>
      <c r="O144" s="118"/>
    </row>
    <row r="145" spans="1:15" ht="15">
      <c r="A145" s="246"/>
      <c r="B145" s="247"/>
      <c r="C145" s="247"/>
      <c r="D145" s="247"/>
      <c r="E145" s="247"/>
      <c r="F145" s="247"/>
      <c r="G145" s="247"/>
      <c r="H145" s="247"/>
      <c r="I145" s="247"/>
      <c r="J145" s="281"/>
      <c r="K145" s="281"/>
      <c r="L145" s="281"/>
      <c r="M145" s="281"/>
      <c r="N145" s="121"/>
      <c r="O145" s="118"/>
    </row>
    <row r="146" spans="1:15" ht="15">
      <c r="A146" s="246"/>
      <c r="B146" s="247"/>
      <c r="C146" s="247"/>
      <c r="D146" s="247"/>
      <c r="E146" s="247"/>
      <c r="F146" s="247"/>
      <c r="G146" s="247"/>
      <c r="H146" s="247"/>
      <c r="I146" s="247"/>
      <c r="J146" s="281"/>
      <c r="K146" s="281"/>
      <c r="L146" s="281"/>
      <c r="M146" s="281"/>
      <c r="N146" s="121"/>
      <c r="O146" s="118"/>
    </row>
    <row r="147" spans="1:15" ht="15">
      <c r="A147" s="246"/>
      <c r="B147" s="247"/>
      <c r="C147" s="247"/>
      <c r="D147" s="247"/>
      <c r="E147" s="247"/>
      <c r="F147" s="247"/>
      <c r="G147" s="247"/>
      <c r="H147" s="247"/>
      <c r="I147" s="247"/>
      <c r="J147" s="281"/>
      <c r="K147" s="281"/>
      <c r="L147" s="281"/>
      <c r="M147" s="281"/>
      <c r="N147" s="121"/>
      <c r="O147" s="118"/>
    </row>
    <row r="148" spans="1:15" ht="15">
      <c r="A148" s="246"/>
      <c r="B148" s="247"/>
      <c r="C148" s="247"/>
      <c r="D148" s="247"/>
      <c r="E148" s="247"/>
      <c r="F148" s="247"/>
      <c r="G148" s="247"/>
      <c r="H148" s="247"/>
      <c r="I148" s="247"/>
      <c r="J148" s="281"/>
      <c r="K148" s="281"/>
      <c r="L148" s="281"/>
      <c r="M148" s="281"/>
      <c r="N148" s="121"/>
      <c r="O148" s="118"/>
    </row>
    <row r="149" spans="1:15" ht="15">
      <c r="A149" s="246"/>
      <c r="B149" s="247"/>
      <c r="C149" s="247"/>
      <c r="D149" s="247"/>
      <c r="E149" s="247"/>
      <c r="F149" s="247"/>
      <c r="G149" s="247"/>
      <c r="H149" s="247"/>
      <c r="I149" s="247"/>
      <c r="J149" s="281"/>
      <c r="K149" s="281"/>
      <c r="L149" s="281"/>
      <c r="M149" s="281"/>
      <c r="N149" s="121"/>
      <c r="O149" s="118"/>
    </row>
    <row r="150" spans="1:15" ht="15">
      <c r="A150" s="246"/>
      <c r="B150" s="247"/>
      <c r="C150" s="247"/>
      <c r="D150" s="247"/>
      <c r="E150" s="247"/>
      <c r="F150" s="247"/>
      <c r="G150" s="247"/>
      <c r="H150" s="247"/>
      <c r="I150" s="247"/>
      <c r="J150" s="281"/>
      <c r="K150" s="281"/>
      <c r="L150" s="281"/>
      <c r="M150" s="281"/>
      <c r="N150" s="121"/>
      <c r="O150" s="118"/>
    </row>
    <row r="151" spans="1:15" ht="15">
      <c r="A151" s="246"/>
      <c r="B151" s="247"/>
      <c r="C151" s="247"/>
      <c r="D151" s="247"/>
      <c r="E151" s="247"/>
      <c r="F151" s="247"/>
      <c r="G151" s="247"/>
      <c r="H151" s="247"/>
      <c r="I151" s="247"/>
      <c r="J151" s="281"/>
      <c r="K151" s="281"/>
      <c r="L151" s="281"/>
      <c r="M151" s="281"/>
      <c r="N151" s="121"/>
      <c r="O151" s="118"/>
    </row>
    <row r="152" spans="1:15" ht="15">
      <c r="A152" s="246"/>
      <c r="B152" s="247"/>
      <c r="C152" s="247"/>
      <c r="D152" s="247"/>
      <c r="E152" s="247"/>
      <c r="F152" s="247"/>
      <c r="G152" s="247"/>
      <c r="H152" s="247"/>
      <c r="I152" s="247"/>
      <c r="J152" s="281"/>
      <c r="K152" s="281"/>
      <c r="L152" s="281"/>
      <c r="M152" s="281"/>
      <c r="N152" s="121"/>
      <c r="O152" s="118"/>
    </row>
    <row r="153" spans="1:15" ht="15">
      <c r="A153" s="246"/>
      <c r="B153" s="247"/>
      <c r="C153" s="247"/>
      <c r="D153" s="247"/>
      <c r="E153" s="247"/>
      <c r="F153" s="247"/>
      <c r="G153" s="247"/>
      <c r="H153" s="247"/>
      <c r="I153" s="247"/>
      <c r="J153" s="281"/>
      <c r="K153" s="281"/>
      <c r="L153" s="281"/>
      <c r="M153" s="281"/>
      <c r="N153" s="121"/>
      <c r="O153" s="118"/>
    </row>
    <row r="154" spans="1:15" ht="15">
      <c r="A154" s="246"/>
      <c r="B154" s="247"/>
      <c r="C154" s="247"/>
      <c r="D154" s="247"/>
      <c r="E154" s="247"/>
      <c r="F154" s="247"/>
      <c r="G154" s="247"/>
      <c r="H154" s="247"/>
      <c r="I154" s="247"/>
      <c r="J154" s="281"/>
      <c r="K154" s="281"/>
      <c r="L154" s="281"/>
      <c r="M154" s="281"/>
      <c r="N154" s="121"/>
      <c r="O154" s="118"/>
    </row>
    <row r="155" spans="1:15" ht="15">
      <c r="A155" s="246"/>
      <c r="B155" s="247"/>
      <c r="C155" s="247"/>
      <c r="D155" s="247"/>
      <c r="E155" s="247"/>
      <c r="F155" s="247"/>
      <c r="G155" s="247"/>
      <c r="H155" s="247"/>
      <c r="I155" s="247"/>
      <c r="J155" s="281"/>
      <c r="K155" s="281"/>
      <c r="L155" s="281"/>
      <c r="M155" s="281"/>
      <c r="N155" s="121"/>
      <c r="O155" s="118"/>
    </row>
    <row r="156" spans="1:15" ht="15">
      <c r="A156" s="246"/>
      <c r="B156" s="247"/>
      <c r="C156" s="247"/>
      <c r="D156" s="247"/>
      <c r="E156" s="247"/>
      <c r="F156" s="247"/>
      <c r="G156" s="247"/>
      <c r="H156" s="247"/>
      <c r="I156" s="247"/>
      <c r="J156" s="281"/>
      <c r="K156" s="281"/>
      <c r="L156" s="281"/>
      <c r="M156" s="281"/>
      <c r="N156" s="121"/>
      <c r="O156" s="118"/>
    </row>
    <row r="157" spans="1:15" ht="15">
      <c r="A157" s="246"/>
      <c r="B157" s="247"/>
      <c r="C157" s="247"/>
      <c r="D157" s="247"/>
      <c r="E157" s="247"/>
      <c r="F157" s="247"/>
      <c r="G157" s="247"/>
      <c r="H157" s="247"/>
      <c r="I157" s="247"/>
      <c r="J157" s="281"/>
      <c r="K157" s="281"/>
      <c r="L157" s="281"/>
      <c r="M157" s="281"/>
      <c r="N157" s="121"/>
      <c r="O157" s="118"/>
    </row>
    <row r="158" spans="1:15" ht="15">
      <c r="A158" s="246"/>
      <c r="B158" s="247"/>
      <c r="C158" s="247"/>
      <c r="D158" s="247"/>
      <c r="E158" s="247"/>
      <c r="F158" s="247"/>
      <c r="G158" s="247"/>
      <c r="H158" s="247"/>
      <c r="I158" s="247"/>
      <c r="J158" s="281"/>
      <c r="K158" s="281"/>
      <c r="L158" s="281"/>
      <c r="M158" s="281"/>
      <c r="N158" s="121"/>
      <c r="O158" s="118"/>
    </row>
    <row r="159" spans="1:15" ht="15">
      <c r="A159" s="246"/>
      <c r="B159" s="247"/>
      <c r="C159" s="247"/>
      <c r="D159" s="247"/>
      <c r="E159" s="247"/>
      <c r="F159" s="247"/>
      <c r="G159" s="247"/>
      <c r="H159" s="247"/>
      <c r="I159" s="247"/>
      <c r="J159" s="281"/>
      <c r="K159" s="281"/>
      <c r="L159" s="281"/>
      <c r="M159" s="281"/>
      <c r="N159" s="121"/>
      <c r="O159" s="118"/>
    </row>
    <row r="160" spans="1:15" ht="15">
      <c r="A160" s="246"/>
      <c r="B160" s="247"/>
      <c r="C160" s="247"/>
      <c r="D160" s="247"/>
      <c r="E160" s="247"/>
      <c r="F160" s="247"/>
      <c r="G160" s="247"/>
      <c r="H160" s="247"/>
      <c r="I160" s="247"/>
      <c r="J160" s="281"/>
      <c r="K160" s="281"/>
      <c r="L160" s="281"/>
      <c r="M160" s="281"/>
      <c r="N160" s="121"/>
      <c r="O160" s="118"/>
    </row>
    <row r="161" spans="1:15" ht="15">
      <c r="A161" s="246"/>
      <c r="B161" s="247"/>
      <c r="C161" s="247"/>
      <c r="D161" s="247"/>
      <c r="E161" s="247"/>
      <c r="F161" s="247"/>
      <c r="G161" s="247"/>
      <c r="H161" s="247"/>
      <c r="I161" s="247"/>
      <c r="J161" s="281"/>
      <c r="K161" s="281"/>
      <c r="L161" s="281"/>
      <c r="M161" s="281"/>
      <c r="N161" s="121"/>
      <c r="O161" s="118"/>
    </row>
    <row r="162" spans="1:15" ht="15">
      <c r="A162" s="246"/>
      <c r="B162" s="247"/>
      <c r="C162" s="247"/>
      <c r="D162" s="247"/>
      <c r="E162" s="247"/>
      <c r="F162" s="247"/>
      <c r="G162" s="247"/>
      <c r="H162" s="247"/>
      <c r="I162" s="247"/>
      <c r="J162" s="281"/>
      <c r="K162" s="281"/>
      <c r="L162" s="281"/>
      <c r="M162" s="281"/>
      <c r="N162" s="121"/>
      <c r="O162" s="118"/>
    </row>
    <row r="163" spans="1:15" ht="15">
      <c r="A163" s="246"/>
      <c r="B163" s="247"/>
      <c r="C163" s="247"/>
      <c r="D163" s="247"/>
      <c r="E163" s="247"/>
      <c r="F163" s="247"/>
      <c r="G163" s="247"/>
      <c r="H163" s="247"/>
      <c r="I163" s="247"/>
      <c r="J163" s="281"/>
      <c r="K163" s="281"/>
      <c r="L163" s="281"/>
      <c r="M163" s="281"/>
      <c r="N163" s="121"/>
      <c r="O163" s="118"/>
    </row>
    <row r="164" spans="1:15" ht="15">
      <c r="A164" s="246"/>
      <c r="B164" s="247"/>
      <c r="C164" s="247"/>
      <c r="D164" s="247"/>
      <c r="E164" s="247"/>
      <c r="F164" s="247"/>
      <c r="G164" s="247"/>
      <c r="H164" s="247"/>
      <c r="I164" s="247"/>
      <c r="J164" s="281"/>
      <c r="K164" s="281"/>
      <c r="L164" s="281"/>
      <c r="M164" s="281"/>
      <c r="N164" s="121"/>
      <c r="O164" s="118"/>
    </row>
    <row r="165" spans="1:15" ht="15">
      <c r="A165" s="246"/>
      <c r="B165" s="247"/>
      <c r="C165" s="247"/>
      <c r="D165" s="247"/>
      <c r="E165" s="247"/>
      <c r="F165" s="247"/>
      <c r="G165" s="247"/>
      <c r="H165" s="247"/>
      <c r="I165" s="247"/>
      <c r="J165" s="281"/>
      <c r="K165" s="281"/>
      <c r="L165" s="281"/>
      <c r="M165" s="281"/>
      <c r="N165" s="121"/>
      <c r="O165" s="118"/>
    </row>
    <row r="166" spans="1:15" ht="15">
      <c r="A166" s="246"/>
      <c r="B166" s="247"/>
      <c r="C166" s="247"/>
      <c r="D166" s="247"/>
      <c r="E166" s="247"/>
      <c r="F166" s="247"/>
      <c r="G166" s="247"/>
      <c r="H166" s="247"/>
      <c r="I166" s="247"/>
      <c r="J166" s="281"/>
      <c r="K166" s="281"/>
      <c r="L166" s="281"/>
      <c r="M166" s="281"/>
      <c r="N166" s="121"/>
      <c r="O166" s="118"/>
    </row>
    <row r="167" spans="1:15" ht="15">
      <c r="A167" s="246"/>
      <c r="B167" s="247"/>
      <c r="C167" s="247"/>
      <c r="D167" s="247"/>
      <c r="E167" s="247"/>
      <c r="F167" s="247"/>
      <c r="G167" s="247"/>
      <c r="H167" s="247"/>
      <c r="I167" s="247"/>
      <c r="J167" s="281"/>
      <c r="K167" s="281"/>
      <c r="L167" s="281"/>
      <c r="M167" s="281"/>
      <c r="N167" s="121"/>
      <c r="O167" s="118"/>
    </row>
    <row r="168" spans="1:15" ht="15">
      <c r="A168" s="246"/>
      <c r="B168" s="247"/>
      <c r="C168" s="247"/>
      <c r="D168" s="247"/>
      <c r="E168" s="247"/>
      <c r="F168" s="247"/>
      <c r="G168" s="247"/>
      <c r="H168" s="247"/>
      <c r="I168" s="247"/>
      <c r="J168" s="281"/>
      <c r="K168" s="281"/>
      <c r="L168" s="281"/>
      <c r="M168" s="281"/>
      <c r="N168" s="121"/>
      <c r="O168" s="118"/>
    </row>
    <row r="169" spans="1:15" ht="15">
      <c r="A169" s="246"/>
      <c r="B169" s="247"/>
      <c r="C169" s="247"/>
      <c r="D169" s="247"/>
      <c r="E169" s="247"/>
      <c r="F169" s="247"/>
      <c r="G169" s="247"/>
      <c r="H169" s="247"/>
      <c r="I169" s="247"/>
      <c r="J169" s="281"/>
      <c r="K169" s="281"/>
      <c r="L169" s="281"/>
      <c r="M169" s="281"/>
      <c r="N169" s="121"/>
      <c r="O169" s="118"/>
    </row>
    <row r="170" spans="1:15" ht="15">
      <c r="A170" s="246"/>
      <c r="B170" s="247"/>
      <c r="C170" s="247"/>
      <c r="D170" s="247"/>
      <c r="E170" s="247"/>
      <c r="F170" s="247"/>
      <c r="G170" s="247"/>
      <c r="H170" s="247"/>
      <c r="I170" s="247"/>
      <c r="J170" s="281"/>
      <c r="K170" s="281"/>
      <c r="L170" s="281"/>
      <c r="M170" s="281"/>
      <c r="N170" s="121"/>
      <c r="O170" s="118"/>
    </row>
    <row r="171" spans="1:15" ht="15">
      <c r="A171" s="246"/>
      <c r="B171" s="247"/>
      <c r="C171" s="247"/>
      <c r="D171" s="247"/>
      <c r="E171" s="247"/>
      <c r="F171" s="247"/>
      <c r="G171" s="247"/>
      <c r="H171" s="247"/>
      <c r="I171" s="247"/>
      <c r="J171" s="281"/>
      <c r="K171" s="281"/>
      <c r="L171" s="281"/>
      <c r="M171" s="281"/>
      <c r="N171" s="121"/>
      <c r="O171" s="118"/>
    </row>
    <row r="172" spans="1:15" ht="15">
      <c r="A172" s="246"/>
      <c r="B172" s="247"/>
      <c r="C172" s="247"/>
      <c r="D172" s="247"/>
      <c r="E172" s="247"/>
      <c r="F172" s="247"/>
      <c r="G172" s="247"/>
      <c r="H172" s="247"/>
      <c r="I172" s="247"/>
      <c r="J172" s="281"/>
      <c r="K172" s="281"/>
      <c r="L172" s="281"/>
      <c r="M172" s="281"/>
      <c r="N172" s="121"/>
      <c r="O172" s="118"/>
    </row>
    <row r="173" spans="1:15" ht="15">
      <c r="A173" s="246"/>
      <c r="B173" s="247"/>
      <c r="C173" s="247"/>
      <c r="D173" s="247"/>
      <c r="E173" s="247"/>
      <c r="F173" s="247"/>
      <c r="G173" s="247"/>
      <c r="H173" s="247"/>
      <c r="I173" s="247"/>
      <c r="J173" s="281"/>
      <c r="K173" s="281"/>
      <c r="L173" s="281"/>
      <c r="M173" s="281"/>
      <c r="N173" s="121"/>
      <c r="O173" s="118"/>
    </row>
    <row r="174" spans="1:15" ht="15">
      <c r="A174" s="246"/>
      <c r="B174" s="247"/>
      <c r="C174" s="247"/>
      <c r="D174" s="247"/>
      <c r="E174" s="247"/>
      <c r="F174" s="247"/>
      <c r="G174" s="247"/>
      <c r="H174" s="247"/>
      <c r="I174" s="247"/>
      <c r="J174" s="281"/>
      <c r="K174" s="281"/>
      <c r="L174" s="281"/>
      <c r="M174" s="281"/>
      <c r="N174" s="121"/>
      <c r="O174" s="118"/>
    </row>
    <row r="175" spans="1:15" ht="15">
      <c r="A175" s="246"/>
      <c r="B175" s="247"/>
      <c r="C175" s="247"/>
      <c r="D175" s="247"/>
      <c r="E175" s="247"/>
      <c r="F175" s="247"/>
      <c r="G175" s="247"/>
      <c r="H175" s="247"/>
      <c r="I175" s="247"/>
      <c r="J175" s="281"/>
      <c r="K175" s="281"/>
      <c r="L175" s="281"/>
      <c r="M175" s="281"/>
      <c r="N175" s="121"/>
      <c r="O175" s="118"/>
    </row>
    <row r="176" spans="1:15" ht="15">
      <c r="A176" s="246"/>
      <c r="B176" s="247"/>
      <c r="C176" s="247"/>
      <c r="D176" s="247"/>
      <c r="E176" s="247"/>
      <c r="F176" s="247"/>
      <c r="G176" s="247"/>
      <c r="H176" s="247"/>
      <c r="I176" s="247"/>
      <c r="J176" s="281"/>
      <c r="K176" s="281"/>
      <c r="L176" s="281"/>
      <c r="M176" s="281"/>
      <c r="N176" s="121"/>
      <c r="O176" s="118"/>
    </row>
    <row r="177" spans="1:15" ht="15">
      <c r="A177" s="246"/>
      <c r="B177" s="247"/>
      <c r="C177" s="247"/>
      <c r="D177" s="247"/>
      <c r="E177" s="247"/>
      <c r="F177" s="247"/>
      <c r="G177" s="247"/>
      <c r="H177" s="247"/>
      <c r="I177" s="247"/>
      <c r="J177" s="281"/>
      <c r="K177" s="281"/>
      <c r="L177" s="281"/>
      <c r="M177" s="281"/>
      <c r="N177" s="121"/>
      <c r="O177" s="118"/>
    </row>
    <row r="178" spans="1:15" ht="15">
      <c r="A178" s="246"/>
      <c r="B178" s="247"/>
      <c r="C178" s="247"/>
      <c r="D178" s="247"/>
      <c r="E178" s="247"/>
      <c r="F178" s="247"/>
      <c r="G178" s="247"/>
      <c r="H178" s="247"/>
      <c r="I178" s="247"/>
      <c r="J178" s="281"/>
      <c r="K178" s="281"/>
      <c r="L178" s="281"/>
      <c r="M178" s="281"/>
      <c r="N178" s="121"/>
      <c r="O178" s="118"/>
    </row>
    <row r="179" spans="1:15" ht="15">
      <c r="A179" s="246"/>
      <c r="B179" s="247"/>
      <c r="C179" s="247"/>
      <c r="D179" s="247"/>
      <c r="E179" s="247"/>
      <c r="F179" s="247"/>
      <c r="G179" s="247"/>
      <c r="H179" s="247"/>
      <c r="I179" s="247"/>
      <c r="J179" s="281"/>
      <c r="K179" s="281"/>
      <c r="L179" s="281"/>
      <c r="M179" s="281"/>
      <c r="N179" s="121"/>
      <c r="O179" s="118"/>
    </row>
    <row r="180" spans="1:15" ht="15">
      <c r="A180" s="246"/>
      <c r="B180" s="247"/>
      <c r="C180" s="247"/>
      <c r="D180" s="247"/>
      <c r="E180" s="247"/>
      <c r="F180" s="247"/>
      <c r="G180" s="247"/>
      <c r="H180" s="247"/>
      <c r="I180" s="247"/>
      <c r="J180" s="281"/>
      <c r="K180" s="281"/>
      <c r="L180" s="281"/>
      <c r="M180" s="281"/>
      <c r="N180" s="121"/>
      <c r="O180" s="118"/>
    </row>
    <row r="181" spans="1:15" ht="15">
      <c r="A181" s="246"/>
      <c r="B181" s="247"/>
      <c r="C181" s="247"/>
      <c r="D181" s="247"/>
      <c r="E181" s="247"/>
      <c r="F181" s="247"/>
      <c r="G181" s="247"/>
      <c r="H181" s="247"/>
      <c r="I181" s="247"/>
      <c r="J181" s="281"/>
      <c r="K181" s="281"/>
      <c r="L181" s="281"/>
      <c r="M181" s="281"/>
      <c r="N181" s="121"/>
      <c r="O181" s="118"/>
    </row>
    <row r="182" spans="1:15" ht="15">
      <c r="A182" s="246"/>
      <c r="B182" s="247"/>
      <c r="C182" s="247"/>
      <c r="D182" s="247"/>
      <c r="E182" s="247"/>
      <c r="F182" s="247"/>
      <c r="G182" s="247"/>
      <c r="H182" s="247"/>
      <c r="I182" s="247"/>
      <c r="J182" s="281"/>
      <c r="K182" s="281"/>
      <c r="L182" s="281"/>
      <c r="M182" s="281"/>
      <c r="N182" s="121"/>
      <c r="O182" s="118"/>
    </row>
    <row r="183" spans="1:15" ht="15">
      <c r="A183" s="246"/>
      <c r="B183" s="247"/>
      <c r="C183" s="247"/>
      <c r="D183" s="247"/>
      <c r="E183" s="247"/>
      <c r="F183" s="247"/>
      <c r="G183" s="247"/>
      <c r="H183" s="247"/>
      <c r="I183" s="247"/>
      <c r="J183" s="281"/>
      <c r="K183" s="281"/>
      <c r="L183" s="281"/>
      <c r="M183" s="281"/>
      <c r="N183" s="121"/>
      <c r="O183" s="118"/>
    </row>
    <row r="184" spans="1:15" ht="15">
      <c r="A184" s="246"/>
      <c r="B184" s="247"/>
      <c r="C184" s="247"/>
      <c r="D184" s="247"/>
      <c r="E184" s="247"/>
      <c r="F184" s="247"/>
      <c r="G184" s="247"/>
      <c r="H184" s="247"/>
      <c r="I184" s="247"/>
      <c r="J184" s="281"/>
      <c r="K184" s="281"/>
      <c r="L184" s="281"/>
      <c r="M184" s="281"/>
      <c r="N184" s="121"/>
      <c r="O184" s="118"/>
    </row>
    <row r="185" spans="1:15" ht="15">
      <c r="A185" s="246"/>
      <c r="B185" s="247"/>
      <c r="C185" s="247"/>
      <c r="D185" s="247"/>
      <c r="E185" s="247"/>
      <c r="F185" s="247"/>
      <c r="G185" s="247"/>
      <c r="H185" s="247"/>
      <c r="I185" s="247"/>
      <c r="J185" s="281"/>
      <c r="K185" s="281"/>
      <c r="L185" s="281"/>
      <c r="M185" s="281"/>
      <c r="N185" s="121"/>
      <c r="O185" s="118"/>
    </row>
    <row r="186" spans="1:15" ht="15">
      <c r="A186" s="246"/>
      <c r="B186" s="247"/>
      <c r="C186" s="247"/>
      <c r="D186" s="247"/>
      <c r="E186" s="247"/>
      <c r="F186" s="247"/>
      <c r="G186" s="247"/>
      <c r="H186" s="247"/>
      <c r="I186" s="247"/>
      <c r="J186" s="281"/>
      <c r="K186" s="281"/>
      <c r="L186" s="281"/>
      <c r="M186" s="281"/>
      <c r="N186" s="121"/>
      <c r="O186" s="118"/>
    </row>
    <row r="187" spans="1:15" ht="15">
      <c r="A187" s="246"/>
      <c r="B187" s="247"/>
      <c r="C187" s="247"/>
      <c r="D187" s="247"/>
      <c r="E187" s="247"/>
      <c r="F187" s="247"/>
      <c r="G187" s="247"/>
      <c r="H187" s="247"/>
      <c r="I187" s="247"/>
      <c r="J187" s="281"/>
      <c r="K187" s="281"/>
      <c r="L187" s="281"/>
      <c r="M187" s="281"/>
      <c r="N187" s="121"/>
      <c r="O187" s="118"/>
    </row>
    <row r="188" spans="1:15" ht="15">
      <c r="A188" s="246"/>
      <c r="B188" s="247"/>
      <c r="C188" s="247"/>
      <c r="D188" s="247"/>
      <c r="E188" s="247"/>
      <c r="F188" s="247"/>
      <c r="G188" s="247"/>
      <c r="H188" s="247"/>
      <c r="I188" s="247"/>
      <c r="J188" s="281"/>
      <c r="K188" s="281"/>
      <c r="L188" s="281"/>
      <c r="M188" s="281"/>
      <c r="N188" s="121"/>
      <c r="O188" s="118"/>
    </row>
    <row r="189" spans="1:15" ht="15">
      <c r="A189" s="246"/>
      <c r="B189" s="247"/>
      <c r="C189" s="247"/>
      <c r="D189" s="247"/>
      <c r="E189" s="247"/>
      <c r="F189" s="247"/>
      <c r="G189" s="247"/>
      <c r="H189" s="247"/>
      <c r="I189" s="247"/>
      <c r="J189" s="281"/>
      <c r="K189" s="281"/>
      <c r="L189" s="281"/>
      <c r="M189" s="281"/>
      <c r="N189" s="121"/>
      <c r="O189" s="118"/>
    </row>
    <row r="190" spans="1:15" ht="15">
      <c r="A190" s="246"/>
      <c r="B190" s="247"/>
      <c r="C190" s="247"/>
      <c r="D190" s="247"/>
      <c r="E190" s="247"/>
      <c r="F190" s="247"/>
      <c r="G190" s="247"/>
      <c r="H190" s="247"/>
      <c r="I190" s="247"/>
      <c r="J190" s="281"/>
      <c r="K190" s="281"/>
      <c r="L190" s="281"/>
      <c r="M190" s="281"/>
      <c r="N190" s="121"/>
      <c r="O190" s="118"/>
    </row>
    <row r="191" spans="1:15" ht="15">
      <c r="A191" s="246"/>
      <c r="B191" s="247"/>
      <c r="C191" s="247"/>
      <c r="D191" s="247"/>
      <c r="E191" s="247"/>
      <c r="F191" s="247"/>
      <c r="G191" s="247"/>
      <c r="H191" s="247"/>
      <c r="I191" s="247"/>
      <c r="J191" s="281"/>
      <c r="K191" s="281"/>
      <c r="L191" s="281"/>
      <c r="M191" s="281"/>
      <c r="N191" s="121"/>
      <c r="O191" s="118"/>
    </row>
    <row r="192" spans="1:15" ht="15">
      <c r="A192" s="246"/>
      <c r="B192" s="247"/>
      <c r="C192" s="247"/>
      <c r="D192" s="247"/>
      <c r="E192" s="247"/>
      <c r="F192" s="247"/>
      <c r="G192" s="247"/>
      <c r="H192" s="247"/>
      <c r="I192" s="247"/>
      <c r="J192" s="281"/>
      <c r="K192" s="281"/>
      <c r="L192" s="281"/>
      <c r="M192" s="281"/>
      <c r="N192" s="121"/>
      <c r="O192" s="118"/>
    </row>
    <row r="193" spans="1:15" ht="15">
      <c r="A193" s="246"/>
      <c r="B193" s="247"/>
      <c r="C193" s="247"/>
      <c r="D193" s="247"/>
      <c r="E193" s="247"/>
      <c r="F193" s="247"/>
      <c r="G193" s="247"/>
      <c r="H193" s="247"/>
      <c r="I193" s="247"/>
      <c r="J193" s="281"/>
      <c r="K193" s="281"/>
      <c r="L193" s="281"/>
      <c r="M193" s="281"/>
      <c r="N193" s="121"/>
      <c r="O193" s="118"/>
    </row>
    <row r="194" spans="1:15" ht="15">
      <c r="A194" s="246"/>
      <c r="B194" s="247"/>
      <c r="C194" s="247"/>
      <c r="D194" s="247"/>
      <c r="E194" s="247"/>
      <c r="F194" s="247"/>
      <c r="G194" s="247"/>
      <c r="H194" s="247"/>
      <c r="I194" s="247"/>
      <c r="J194" s="281"/>
      <c r="K194" s="281"/>
      <c r="L194" s="281"/>
      <c r="M194" s="281"/>
      <c r="N194" s="121"/>
      <c r="O194" s="118"/>
    </row>
    <row r="195" spans="1:15" ht="15">
      <c r="A195" s="235"/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  <c r="L195" s="281"/>
      <c r="M195" s="281"/>
      <c r="N195" s="121"/>
      <c r="O195" s="118"/>
    </row>
    <row r="196" spans="1:15" ht="15">
      <c r="A196" s="235"/>
      <c r="B196" s="281"/>
      <c r="C196" s="281"/>
      <c r="D196" s="281"/>
      <c r="E196" s="281"/>
      <c r="F196" s="281"/>
      <c r="G196" s="281"/>
      <c r="H196" s="281"/>
      <c r="I196" s="281"/>
      <c r="J196" s="281"/>
      <c r="K196" s="281"/>
      <c r="L196" s="281"/>
      <c r="M196" s="281"/>
      <c r="N196" s="121"/>
      <c r="O196" s="118"/>
    </row>
    <row r="197" spans="1:15" ht="15">
      <c r="A197" s="235"/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  <c r="L197" s="281"/>
      <c r="M197" s="281"/>
      <c r="N197" s="121"/>
      <c r="O197" s="118"/>
    </row>
    <row r="198" spans="1:15" ht="15">
      <c r="A198" s="235"/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  <c r="L198" s="281"/>
      <c r="M198" s="281"/>
      <c r="N198" s="121"/>
      <c r="O198" s="118"/>
    </row>
    <row r="199" spans="1:15" ht="15">
      <c r="A199" s="235"/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1"/>
      <c r="M199" s="281"/>
      <c r="N199" s="121"/>
      <c r="O199" s="118"/>
    </row>
    <row r="200" spans="1:15" ht="15">
      <c r="A200" s="235"/>
      <c r="B200" s="281"/>
      <c r="C200" s="281"/>
      <c r="D200" s="281"/>
      <c r="E200" s="281"/>
      <c r="F200" s="281"/>
      <c r="G200" s="281"/>
      <c r="H200" s="281"/>
      <c r="I200" s="281"/>
      <c r="J200" s="281"/>
      <c r="K200" s="281"/>
      <c r="L200" s="281"/>
      <c r="M200" s="281"/>
      <c r="N200" s="121"/>
      <c r="O200" s="118"/>
    </row>
    <row r="201" spans="1:15" ht="15">
      <c r="A201" s="235"/>
      <c r="B201" s="281"/>
      <c r="C201" s="281"/>
      <c r="D201" s="281"/>
      <c r="E201" s="281"/>
      <c r="F201" s="281"/>
      <c r="G201" s="281"/>
      <c r="H201" s="281"/>
      <c r="I201" s="281"/>
      <c r="J201" s="281"/>
      <c r="K201" s="281"/>
      <c r="L201" s="281"/>
      <c r="M201" s="281"/>
      <c r="N201" s="121"/>
      <c r="O201" s="118"/>
    </row>
    <row r="202" spans="1:15" ht="15">
      <c r="A202" s="235"/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121"/>
      <c r="O202" s="118"/>
    </row>
    <row r="203" spans="1:15" ht="15">
      <c r="A203" s="235"/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1"/>
      <c r="M203" s="281"/>
      <c r="N203" s="121"/>
      <c r="O203" s="118"/>
    </row>
    <row r="204" spans="1:15" ht="15">
      <c r="A204" s="235"/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1"/>
      <c r="M204" s="281"/>
      <c r="N204" s="121"/>
      <c r="O204" s="118"/>
    </row>
    <row r="205" spans="1:15" ht="15">
      <c r="A205" s="235"/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1"/>
      <c r="M205" s="281"/>
      <c r="N205" s="121"/>
      <c r="O205" s="118"/>
    </row>
    <row r="206" spans="1:15" ht="15">
      <c r="A206" s="235"/>
      <c r="B206" s="281"/>
      <c r="C206" s="281"/>
      <c r="D206" s="281"/>
      <c r="E206" s="281"/>
      <c r="F206" s="281"/>
      <c r="G206" s="281"/>
      <c r="H206" s="281"/>
      <c r="I206" s="281"/>
      <c r="J206" s="281"/>
      <c r="K206" s="281"/>
      <c r="L206" s="281"/>
      <c r="M206" s="281"/>
      <c r="N206" s="121"/>
      <c r="O206" s="118"/>
    </row>
    <row r="207" spans="1:15" ht="15">
      <c r="A207" s="235"/>
      <c r="B207" s="281"/>
      <c r="C207" s="281"/>
      <c r="D207" s="281"/>
      <c r="E207" s="281"/>
      <c r="F207" s="281"/>
      <c r="G207" s="281"/>
      <c r="H207" s="281"/>
      <c r="I207" s="281"/>
      <c r="J207" s="281"/>
      <c r="K207" s="281"/>
      <c r="L207" s="281"/>
      <c r="M207" s="281"/>
      <c r="N207" s="121"/>
      <c r="O207" s="118"/>
    </row>
    <row r="208" spans="1:15" ht="15">
      <c r="A208" s="235"/>
      <c r="B208" s="281"/>
      <c r="C208" s="281"/>
      <c r="D208" s="281"/>
      <c r="E208" s="281"/>
      <c r="F208" s="281"/>
      <c r="G208" s="281"/>
      <c r="H208" s="281"/>
      <c r="I208" s="281"/>
      <c r="J208" s="281"/>
      <c r="K208" s="281"/>
      <c r="L208" s="281"/>
      <c r="M208" s="281"/>
      <c r="N208" s="121"/>
      <c r="O208" s="118"/>
    </row>
    <row r="209" spans="1:15" ht="15">
      <c r="A209" s="235"/>
      <c r="B209" s="281"/>
      <c r="C209" s="281"/>
      <c r="D209" s="281"/>
      <c r="E209" s="281"/>
      <c r="F209" s="281"/>
      <c r="G209" s="281"/>
      <c r="H209" s="281"/>
      <c r="I209" s="281"/>
      <c r="J209" s="281"/>
      <c r="K209" s="281"/>
      <c r="L209" s="281"/>
      <c r="M209" s="281"/>
      <c r="N209" s="121"/>
      <c r="O209" s="118"/>
    </row>
    <row r="210" spans="1:15" ht="15">
      <c r="A210" s="235"/>
      <c r="B210" s="281"/>
      <c r="C210" s="281"/>
      <c r="D210" s="281"/>
      <c r="E210" s="281"/>
      <c r="F210" s="281"/>
      <c r="G210" s="281"/>
      <c r="H210" s="281"/>
      <c r="I210" s="281"/>
      <c r="J210" s="281"/>
      <c r="K210" s="281"/>
      <c r="L210" s="281"/>
      <c r="M210" s="281"/>
      <c r="N210" s="121"/>
      <c r="O210" s="118"/>
    </row>
    <row r="211" spans="1:15" ht="15">
      <c r="A211" s="235"/>
      <c r="B211" s="281"/>
      <c r="C211" s="281"/>
      <c r="D211" s="281"/>
      <c r="E211" s="281"/>
      <c r="F211" s="281"/>
      <c r="G211" s="281"/>
      <c r="H211" s="281"/>
      <c r="I211" s="281"/>
      <c r="J211" s="281"/>
      <c r="K211" s="281"/>
      <c r="L211" s="281"/>
      <c r="M211" s="281"/>
      <c r="N211" s="121"/>
      <c r="O211" s="118"/>
    </row>
    <row r="212" spans="1:15" ht="15">
      <c r="A212" s="235"/>
      <c r="B212" s="281"/>
      <c r="C212" s="281"/>
      <c r="D212" s="281"/>
      <c r="E212" s="281"/>
      <c r="F212" s="281"/>
      <c r="G212" s="281"/>
      <c r="H212" s="281"/>
      <c r="I212" s="281"/>
      <c r="J212" s="281"/>
      <c r="K212" s="281"/>
      <c r="L212" s="281"/>
      <c r="M212" s="281"/>
      <c r="N212" s="121"/>
      <c r="O212" s="118"/>
    </row>
    <row r="213" spans="1:15" ht="15">
      <c r="A213" s="235"/>
      <c r="B213" s="281"/>
      <c r="C213" s="281"/>
      <c r="D213" s="281"/>
      <c r="E213" s="281"/>
      <c r="F213" s="281"/>
      <c r="G213" s="281"/>
      <c r="H213" s="281"/>
      <c r="I213" s="281"/>
      <c r="J213" s="281"/>
      <c r="K213" s="281"/>
      <c r="L213" s="281"/>
      <c r="M213" s="281"/>
      <c r="N213" s="121"/>
      <c r="O213" s="118"/>
    </row>
    <row r="214" spans="1:15" ht="15">
      <c r="A214" s="235"/>
      <c r="B214" s="281"/>
      <c r="C214" s="281"/>
      <c r="D214" s="281"/>
      <c r="E214" s="281"/>
      <c r="F214" s="281"/>
      <c r="G214" s="281"/>
      <c r="H214" s="281"/>
      <c r="I214" s="281"/>
      <c r="J214" s="281"/>
      <c r="K214" s="281"/>
      <c r="L214" s="281"/>
      <c r="M214" s="281"/>
      <c r="N214" s="121"/>
      <c r="O214" s="118"/>
    </row>
    <row r="215" spans="1:15" ht="15">
      <c r="A215" s="235"/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1"/>
      <c r="M215" s="281"/>
      <c r="N215" s="121"/>
      <c r="O215" s="118"/>
    </row>
    <row r="216" spans="1:15" ht="15">
      <c r="A216" s="235"/>
      <c r="B216" s="281"/>
      <c r="C216" s="281"/>
      <c r="D216" s="281"/>
      <c r="E216" s="281"/>
      <c r="F216" s="281"/>
      <c r="G216" s="281"/>
      <c r="H216" s="281"/>
      <c r="I216" s="281"/>
      <c r="J216" s="281"/>
      <c r="K216" s="281"/>
      <c r="L216" s="281"/>
      <c r="M216" s="281"/>
      <c r="N216" s="121"/>
      <c r="O216" s="118"/>
    </row>
    <row r="217" spans="1:15" ht="15">
      <c r="A217" s="235"/>
      <c r="B217" s="282"/>
      <c r="C217" s="282"/>
      <c r="D217" s="282"/>
      <c r="E217" s="282"/>
      <c r="F217" s="282"/>
      <c r="G217" s="282"/>
      <c r="H217" s="282"/>
      <c r="I217" s="282"/>
      <c r="J217" s="282"/>
      <c r="K217" s="282"/>
      <c r="L217" s="282"/>
      <c r="M217" s="282"/>
      <c r="N217" s="118"/>
      <c r="O217" s="118"/>
    </row>
    <row r="218" spans="1:15" ht="15">
      <c r="A218" s="235"/>
      <c r="B218" s="282"/>
      <c r="C218" s="282"/>
      <c r="D218" s="282"/>
      <c r="E218" s="282"/>
      <c r="F218" s="282"/>
      <c r="G218" s="282"/>
      <c r="H218" s="282"/>
      <c r="I218" s="282"/>
      <c r="J218" s="282"/>
      <c r="K218" s="282"/>
      <c r="L218" s="282"/>
      <c r="M218" s="282"/>
      <c r="N218" s="118"/>
      <c r="O218" s="118"/>
    </row>
    <row r="219" spans="1:15" ht="15">
      <c r="A219" s="235"/>
      <c r="B219" s="282"/>
      <c r="C219" s="282"/>
      <c r="D219" s="282"/>
      <c r="E219" s="282"/>
      <c r="F219" s="282"/>
      <c r="G219" s="282"/>
      <c r="H219" s="282"/>
      <c r="I219" s="282"/>
      <c r="J219" s="282"/>
      <c r="K219" s="282"/>
      <c r="L219" s="282"/>
      <c r="M219" s="282"/>
      <c r="N219" s="118"/>
      <c r="O219" s="118"/>
    </row>
    <row r="220" spans="1:15" ht="15">
      <c r="A220" s="235"/>
      <c r="B220" s="282"/>
      <c r="C220" s="282"/>
      <c r="D220" s="282"/>
      <c r="E220" s="282"/>
      <c r="F220" s="282"/>
      <c r="G220" s="282"/>
      <c r="H220" s="282"/>
      <c r="I220" s="282"/>
      <c r="J220" s="282"/>
      <c r="K220" s="282"/>
      <c r="L220" s="282"/>
      <c r="M220" s="282"/>
      <c r="N220" s="118"/>
      <c r="O220" s="118"/>
    </row>
    <row r="221" spans="1:15" ht="15">
      <c r="A221" s="235"/>
      <c r="B221" s="282"/>
      <c r="C221" s="282"/>
      <c r="D221" s="282"/>
      <c r="E221" s="282"/>
      <c r="F221" s="282"/>
      <c r="G221" s="282"/>
      <c r="H221" s="282"/>
      <c r="I221" s="282"/>
      <c r="J221" s="282"/>
      <c r="K221" s="282"/>
      <c r="L221" s="282"/>
      <c r="M221" s="282"/>
      <c r="N221" s="118"/>
      <c r="O221" s="118"/>
    </row>
    <row r="222" spans="1:15" ht="15">
      <c r="A222" s="235"/>
      <c r="B222" s="282"/>
      <c r="C222" s="282"/>
      <c r="D222" s="282"/>
      <c r="E222" s="282"/>
      <c r="F222" s="282"/>
      <c r="G222" s="282"/>
      <c r="H222" s="282"/>
      <c r="I222" s="282"/>
      <c r="J222" s="282"/>
      <c r="K222" s="282"/>
      <c r="L222" s="282"/>
      <c r="M222" s="282"/>
      <c r="N222" s="118"/>
      <c r="O222" s="118"/>
    </row>
    <row r="223" spans="1:15" ht="15">
      <c r="A223" s="235"/>
      <c r="B223" s="282"/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2"/>
      <c r="N223" s="118"/>
      <c r="O223" s="118"/>
    </row>
    <row r="224" spans="1:15" ht="15">
      <c r="A224" s="235"/>
      <c r="B224" s="282"/>
      <c r="C224" s="282"/>
      <c r="D224" s="282"/>
      <c r="E224" s="282"/>
      <c r="F224" s="282"/>
      <c r="G224" s="282"/>
      <c r="H224" s="282"/>
      <c r="I224" s="282"/>
      <c r="J224" s="282"/>
      <c r="K224" s="282"/>
      <c r="L224" s="282"/>
      <c r="M224" s="282"/>
      <c r="N224" s="118"/>
      <c r="O224" s="118"/>
    </row>
    <row r="225" spans="1:15" ht="15">
      <c r="A225" s="235"/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118"/>
      <c r="O225" s="118"/>
    </row>
    <row r="226" spans="1:15" ht="15">
      <c r="A226" s="235"/>
      <c r="B226" s="282"/>
      <c r="C226" s="282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118"/>
      <c r="O226" s="118"/>
    </row>
    <row r="227" spans="1:15" ht="15">
      <c r="A227" s="235"/>
      <c r="B227" s="282"/>
      <c r="C227" s="282"/>
      <c r="D227" s="282"/>
      <c r="E227" s="282"/>
      <c r="F227" s="282"/>
      <c r="G227" s="282"/>
      <c r="H227" s="282"/>
      <c r="I227" s="282"/>
      <c r="J227" s="282"/>
      <c r="K227" s="282"/>
      <c r="L227" s="282"/>
      <c r="M227" s="282"/>
      <c r="N227" s="118"/>
      <c r="O227" s="118"/>
    </row>
    <row r="228" spans="1:15" ht="15">
      <c r="A228" s="235"/>
      <c r="B228" s="282"/>
      <c r="C228" s="282"/>
      <c r="D228" s="282"/>
      <c r="E228" s="282"/>
      <c r="F228" s="282"/>
      <c r="G228" s="282"/>
      <c r="H228" s="282"/>
      <c r="I228" s="282"/>
      <c r="J228" s="282"/>
      <c r="K228" s="282"/>
      <c r="L228" s="282"/>
      <c r="M228" s="282"/>
      <c r="N228" s="118"/>
      <c r="O228" s="118"/>
    </row>
    <row r="229" spans="1:15" ht="15">
      <c r="A229" s="235"/>
      <c r="B229" s="282"/>
      <c r="C229" s="282"/>
      <c r="D229" s="282"/>
      <c r="E229" s="282"/>
      <c r="F229" s="282"/>
      <c r="G229" s="282"/>
      <c r="H229" s="282"/>
      <c r="I229" s="282"/>
      <c r="J229" s="282"/>
      <c r="K229" s="282"/>
      <c r="L229" s="282"/>
      <c r="M229" s="282"/>
      <c r="N229" s="118"/>
      <c r="O229" s="118"/>
    </row>
    <row r="230" spans="1:15" ht="15">
      <c r="A230" s="235"/>
      <c r="B230" s="282"/>
      <c r="C230" s="282"/>
      <c r="D230" s="282"/>
      <c r="E230" s="282"/>
      <c r="F230" s="282"/>
      <c r="G230" s="282"/>
      <c r="H230" s="282"/>
      <c r="I230" s="282"/>
      <c r="J230" s="282"/>
      <c r="K230" s="282"/>
      <c r="L230" s="282"/>
      <c r="M230" s="282"/>
      <c r="N230" s="118"/>
      <c r="O230" s="118"/>
    </row>
    <row r="231" spans="1:15" ht="15">
      <c r="A231" s="235"/>
      <c r="B231" s="282"/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2"/>
      <c r="N231" s="118"/>
      <c r="O231" s="118"/>
    </row>
    <row r="232" spans="1:15" ht="15">
      <c r="A232" s="235"/>
      <c r="B232" s="282"/>
      <c r="C232" s="282"/>
      <c r="D232" s="282"/>
      <c r="E232" s="282"/>
      <c r="F232" s="282"/>
      <c r="G232" s="282"/>
      <c r="H232" s="282"/>
      <c r="I232" s="282"/>
      <c r="J232" s="282"/>
      <c r="K232" s="282"/>
      <c r="L232" s="282"/>
      <c r="M232" s="282"/>
      <c r="N232" s="118"/>
      <c r="O232" s="118"/>
    </row>
    <row r="233" spans="1:15" ht="15">
      <c r="A233" s="235"/>
      <c r="B233" s="282"/>
      <c r="C233" s="282"/>
      <c r="D233" s="282"/>
      <c r="E233" s="282"/>
      <c r="F233" s="282"/>
      <c r="G233" s="282"/>
      <c r="H233" s="282"/>
      <c r="I233" s="282"/>
      <c r="J233" s="282"/>
      <c r="K233" s="282"/>
      <c r="L233" s="282"/>
      <c r="M233" s="282"/>
      <c r="N233" s="118"/>
      <c r="O233" s="118"/>
    </row>
    <row r="234" spans="1:15" ht="15">
      <c r="A234" s="235"/>
      <c r="B234" s="282"/>
      <c r="C234" s="282"/>
      <c r="D234" s="282"/>
      <c r="E234" s="282"/>
      <c r="F234" s="282"/>
      <c r="G234" s="282"/>
      <c r="H234" s="282"/>
      <c r="I234" s="282"/>
      <c r="J234" s="282"/>
      <c r="K234" s="282"/>
      <c r="L234" s="282"/>
      <c r="M234" s="282"/>
      <c r="N234" s="118"/>
      <c r="O234" s="118"/>
    </row>
    <row r="235" spans="1:15" ht="15">
      <c r="A235" s="235"/>
      <c r="B235" s="282"/>
      <c r="C235" s="282"/>
      <c r="D235" s="282"/>
      <c r="E235" s="282"/>
      <c r="F235" s="282"/>
      <c r="G235" s="282"/>
      <c r="H235" s="282"/>
      <c r="I235" s="282"/>
      <c r="J235" s="282"/>
      <c r="K235" s="282"/>
      <c r="L235" s="282"/>
      <c r="M235" s="282"/>
      <c r="N235" s="118"/>
      <c r="O235" s="118"/>
    </row>
    <row r="236" spans="1:15" ht="15">
      <c r="A236" s="235"/>
      <c r="B236" s="282"/>
      <c r="C236" s="282"/>
      <c r="D236" s="282"/>
      <c r="E236" s="282"/>
      <c r="F236" s="282"/>
      <c r="G236" s="282"/>
      <c r="H236" s="282"/>
      <c r="I236" s="282"/>
      <c r="J236" s="282"/>
      <c r="K236" s="282"/>
      <c r="L236" s="282"/>
      <c r="M236" s="282"/>
      <c r="N236" s="118"/>
      <c r="O236" s="118"/>
    </row>
    <row r="237" spans="1:15" ht="15">
      <c r="A237" s="235"/>
      <c r="B237" s="282"/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82"/>
      <c r="N237" s="118"/>
      <c r="O237" s="118"/>
    </row>
    <row r="238" spans="1:15" ht="15">
      <c r="A238" s="235"/>
      <c r="B238" s="282"/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118"/>
      <c r="O238" s="118"/>
    </row>
    <row r="239" spans="1:15" ht="15">
      <c r="A239" s="235"/>
      <c r="B239" s="282"/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82"/>
      <c r="N239" s="118"/>
      <c r="O239" s="118"/>
    </row>
    <row r="240" spans="1:15" ht="15">
      <c r="A240" s="235"/>
      <c r="B240" s="282"/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  <c r="M240" s="282"/>
      <c r="N240" s="118"/>
      <c r="O240" s="118"/>
    </row>
    <row r="241" spans="1:15" ht="15">
      <c r="A241" s="235"/>
      <c r="B241" s="282"/>
      <c r="C241" s="282"/>
      <c r="D241" s="282"/>
      <c r="E241" s="282"/>
      <c r="F241" s="282"/>
      <c r="G241" s="282"/>
      <c r="H241" s="282"/>
      <c r="I241" s="282"/>
      <c r="J241" s="282"/>
      <c r="K241" s="282"/>
      <c r="L241" s="282"/>
      <c r="M241" s="282"/>
      <c r="N241" s="118"/>
      <c r="O241" s="118"/>
    </row>
    <row r="242" spans="1:15" ht="15">
      <c r="A242" s="235"/>
      <c r="B242" s="282"/>
      <c r="C242" s="282"/>
      <c r="D242" s="282"/>
      <c r="E242" s="282"/>
      <c r="F242" s="282"/>
      <c r="G242" s="282"/>
      <c r="H242" s="282"/>
      <c r="I242" s="282"/>
      <c r="J242" s="282"/>
      <c r="K242" s="282"/>
      <c r="L242" s="282"/>
      <c r="M242" s="282"/>
      <c r="N242" s="118"/>
      <c r="O242" s="118"/>
    </row>
    <row r="243" spans="1:15" ht="15">
      <c r="A243" s="235"/>
      <c r="B243" s="282"/>
      <c r="C243" s="282"/>
      <c r="D243" s="282"/>
      <c r="E243" s="282"/>
      <c r="F243" s="282"/>
      <c r="G243" s="282"/>
      <c r="H243" s="282"/>
      <c r="I243" s="282"/>
      <c r="J243" s="282"/>
      <c r="K243" s="282"/>
      <c r="L243" s="282"/>
      <c r="M243" s="282"/>
      <c r="N243" s="118"/>
      <c r="O243" s="118"/>
    </row>
    <row r="244" spans="1:15" ht="15">
      <c r="A244" s="235"/>
      <c r="B244" s="282"/>
      <c r="C244" s="282"/>
      <c r="D244" s="282"/>
      <c r="E244" s="282"/>
      <c r="F244" s="282"/>
      <c r="G244" s="282"/>
      <c r="H244" s="282"/>
      <c r="I244" s="282"/>
      <c r="J244" s="282"/>
      <c r="K244" s="282"/>
      <c r="L244" s="282"/>
      <c r="M244" s="282"/>
      <c r="N244" s="118"/>
      <c r="O244" s="118"/>
    </row>
    <row r="245" spans="1:15" ht="15">
      <c r="A245" s="235"/>
      <c r="B245" s="282"/>
      <c r="C245" s="282"/>
      <c r="D245" s="282"/>
      <c r="E245" s="282"/>
      <c r="F245" s="282"/>
      <c r="G245" s="282"/>
      <c r="H245" s="282"/>
      <c r="I245" s="282"/>
      <c r="J245" s="282"/>
      <c r="K245" s="282"/>
      <c r="L245" s="282"/>
      <c r="M245" s="282"/>
      <c r="N245" s="118"/>
      <c r="O245" s="118"/>
    </row>
    <row r="246" spans="1:15" ht="15">
      <c r="A246" s="235"/>
      <c r="B246" s="282"/>
      <c r="C246" s="282"/>
      <c r="D246" s="282"/>
      <c r="E246" s="282"/>
      <c r="F246" s="282"/>
      <c r="G246" s="282"/>
      <c r="H246" s="282"/>
      <c r="I246" s="282"/>
      <c r="J246" s="282"/>
      <c r="K246" s="282"/>
      <c r="L246" s="282"/>
      <c r="M246" s="282"/>
      <c r="N246" s="118"/>
      <c r="O246" s="118"/>
    </row>
    <row r="247" spans="1:15" ht="15">
      <c r="A247" s="235"/>
      <c r="B247" s="282"/>
      <c r="C247" s="282"/>
      <c r="D247" s="282"/>
      <c r="E247" s="282"/>
      <c r="F247" s="282"/>
      <c r="G247" s="282"/>
      <c r="H247" s="282"/>
      <c r="I247" s="282"/>
      <c r="J247" s="282"/>
      <c r="K247" s="282"/>
      <c r="L247" s="282"/>
      <c r="M247" s="282"/>
      <c r="N247" s="118"/>
      <c r="O247" s="118"/>
    </row>
    <row r="248" spans="1:15" ht="15">
      <c r="A248" s="235"/>
      <c r="B248" s="282"/>
      <c r="C248" s="282"/>
      <c r="D248" s="282"/>
      <c r="E248" s="282"/>
      <c r="F248" s="282"/>
      <c r="G248" s="282"/>
      <c r="H248" s="282"/>
      <c r="I248" s="282"/>
      <c r="J248" s="282"/>
      <c r="K248" s="282"/>
      <c r="L248" s="282"/>
      <c r="M248" s="282"/>
      <c r="N248" s="118"/>
      <c r="O248" s="118"/>
    </row>
    <row r="249" spans="1:15" ht="15">
      <c r="A249" s="235"/>
      <c r="B249" s="282"/>
      <c r="C249" s="282"/>
      <c r="D249" s="282"/>
      <c r="E249" s="282"/>
      <c r="F249" s="282"/>
      <c r="G249" s="282"/>
      <c r="H249" s="282"/>
      <c r="I249" s="282"/>
      <c r="J249" s="282"/>
      <c r="K249" s="282"/>
      <c r="L249" s="282"/>
      <c r="M249" s="282"/>
      <c r="N249" s="118"/>
      <c r="O249" s="118"/>
    </row>
    <row r="250" spans="1:15" ht="15">
      <c r="A250" s="235"/>
      <c r="B250" s="282"/>
      <c r="C250" s="282"/>
      <c r="D250" s="282"/>
      <c r="E250" s="282"/>
      <c r="F250" s="282"/>
      <c r="G250" s="282"/>
      <c r="H250" s="282"/>
      <c r="I250" s="282"/>
      <c r="J250" s="282"/>
      <c r="K250" s="282"/>
      <c r="L250" s="282"/>
      <c r="M250" s="282"/>
      <c r="N250" s="118"/>
      <c r="O250" s="118"/>
    </row>
    <row r="251" spans="1:15" ht="15">
      <c r="A251" s="235"/>
      <c r="B251" s="282"/>
      <c r="C251" s="282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118"/>
      <c r="O251" s="118"/>
    </row>
    <row r="252" spans="1:15" ht="15">
      <c r="A252" s="235"/>
      <c r="B252" s="282"/>
      <c r="C252" s="282"/>
      <c r="D252" s="282"/>
      <c r="E252" s="282"/>
      <c r="F252" s="282"/>
      <c r="G252" s="282"/>
      <c r="H252" s="282"/>
      <c r="I252" s="282"/>
      <c r="J252" s="282"/>
      <c r="K252" s="282"/>
      <c r="L252" s="282"/>
      <c r="M252" s="282"/>
      <c r="N252" s="118"/>
      <c r="O252" s="118"/>
    </row>
    <row r="253" spans="1:15" ht="15">
      <c r="A253" s="235"/>
      <c r="B253" s="282"/>
      <c r="C253" s="282"/>
      <c r="D253" s="282"/>
      <c r="E253" s="282"/>
      <c r="F253" s="282"/>
      <c r="G253" s="282"/>
      <c r="H253" s="282"/>
      <c r="I253" s="282"/>
      <c r="J253" s="282"/>
      <c r="K253" s="282"/>
      <c r="L253" s="282"/>
      <c r="M253" s="282"/>
      <c r="N253" s="118"/>
      <c r="O253" s="118"/>
    </row>
    <row r="254" spans="1:15" ht="15">
      <c r="A254" s="235"/>
      <c r="B254" s="282"/>
      <c r="C254" s="282"/>
      <c r="D254" s="282"/>
      <c r="E254" s="282"/>
      <c r="F254" s="282"/>
      <c r="G254" s="282"/>
      <c r="H254" s="282"/>
      <c r="I254" s="282"/>
      <c r="J254" s="282"/>
      <c r="K254" s="282"/>
      <c r="L254" s="282"/>
      <c r="M254" s="282"/>
      <c r="N254" s="118"/>
      <c r="O254" s="118"/>
    </row>
    <row r="255" spans="1:15" ht="15">
      <c r="A255" s="235"/>
      <c r="B255" s="282"/>
      <c r="C255" s="282"/>
      <c r="D255" s="282"/>
      <c r="E255" s="282"/>
      <c r="F255" s="282"/>
      <c r="G255" s="282"/>
      <c r="H255" s="282"/>
      <c r="I255" s="282"/>
      <c r="J255" s="282"/>
      <c r="K255" s="282"/>
      <c r="L255" s="282"/>
      <c r="M255" s="282"/>
      <c r="N255" s="118"/>
      <c r="O255" s="118"/>
    </row>
    <row r="256" spans="1:15" ht="15">
      <c r="A256" s="235"/>
      <c r="B256" s="282"/>
      <c r="C256" s="282"/>
      <c r="D256" s="282"/>
      <c r="E256" s="282"/>
      <c r="F256" s="282"/>
      <c r="G256" s="282"/>
      <c r="H256" s="282"/>
      <c r="I256" s="282"/>
      <c r="J256" s="282"/>
      <c r="K256" s="282"/>
      <c r="L256" s="282"/>
      <c r="M256" s="282"/>
      <c r="N256" s="118"/>
      <c r="O256" s="118"/>
    </row>
    <row r="257" spans="1:15" ht="15">
      <c r="A257" s="235"/>
      <c r="B257" s="282"/>
      <c r="C257" s="282"/>
      <c r="D257" s="282"/>
      <c r="E257" s="282"/>
      <c r="F257" s="282"/>
      <c r="G257" s="282"/>
      <c r="H257" s="282"/>
      <c r="I257" s="282"/>
      <c r="J257" s="282"/>
      <c r="K257" s="282"/>
      <c r="L257" s="282"/>
      <c r="M257" s="282"/>
      <c r="N257" s="118"/>
      <c r="O257" s="118"/>
    </row>
    <row r="258" spans="1:15" ht="15">
      <c r="A258" s="235"/>
      <c r="B258" s="282"/>
      <c r="C258" s="282"/>
      <c r="D258" s="282"/>
      <c r="E258" s="282"/>
      <c r="F258" s="282"/>
      <c r="G258" s="282"/>
      <c r="H258" s="282"/>
      <c r="I258" s="282"/>
      <c r="J258" s="282"/>
      <c r="K258" s="282"/>
      <c r="L258" s="282"/>
      <c r="M258" s="282"/>
      <c r="N258" s="118"/>
      <c r="O258" s="118"/>
    </row>
    <row r="259" spans="1:15" ht="15">
      <c r="A259" s="235"/>
      <c r="B259" s="282"/>
      <c r="C259" s="282"/>
      <c r="D259" s="282"/>
      <c r="E259" s="282"/>
      <c r="F259" s="282"/>
      <c r="G259" s="282"/>
      <c r="H259" s="282"/>
      <c r="I259" s="282"/>
      <c r="J259" s="282"/>
      <c r="K259" s="282"/>
      <c r="L259" s="282"/>
      <c r="M259" s="282"/>
      <c r="N259" s="118"/>
      <c r="O259" s="118"/>
    </row>
    <row r="260" spans="1:15" ht="15">
      <c r="A260" s="235"/>
      <c r="B260" s="282"/>
      <c r="C260" s="282"/>
      <c r="D260" s="282"/>
      <c r="E260" s="282"/>
      <c r="F260" s="282"/>
      <c r="G260" s="282"/>
      <c r="H260" s="282"/>
      <c r="I260" s="282"/>
      <c r="J260" s="282"/>
      <c r="K260" s="282"/>
      <c r="L260" s="282"/>
      <c r="M260" s="282"/>
      <c r="N260" s="118"/>
      <c r="O260" s="118"/>
    </row>
    <row r="261" spans="1:15" ht="15">
      <c r="A261" s="235"/>
      <c r="B261" s="282"/>
      <c r="C261" s="282"/>
      <c r="D261" s="282"/>
      <c r="E261" s="282"/>
      <c r="F261" s="282"/>
      <c r="G261" s="282"/>
      <c r="H261" s="282"/>
      <c r="I261" s="282"/>
      <c r="J261" s="282"/>
      <c r="K261" s="282"/>
      <c r="L261" s="282"/>
      <c r="M261" s="282"/>
      <c r="N261" s="118"/>
      <c r="O261" s="118"/>
    </row>
    <row r="262" spans="1:15" ht="15">
      <c r="A262" s="235"/>
      <c r="B262" s="282"/>
      <c r="C262" s="282"/>
      <c r="D262" s="282"/>
      <c r="E262" s="282"/>
      <c r="F262" s="282"/>
      <c r="G262" s="282"/>
      <c r="H262" s="282"/>
      <c r="I262" s="282"/>
      <c r="J262" s="282"/>
      <c r="K262" s="282"/>
      <c r="L262" s="282"/>
      <c r="M262" s="282"/>
      <c r="N262" s="118"/>
      <c r="O262" s="118"/>
    </row>
    <row r="263" spans="1:15" ht="15">
      <c r="A263" s="235"/>
      <c r="B263" s="282"/>
      <c r="C263" s="282"/>
      <c r="D263" s="282"/>
      <c r="E263" s="282"/>
      <c r="F263" s="282"/>
      <c r="G263" s="282"/>
      <c r="H263" s="282"/>
      <c r="I263" s="282"/>
      <c r="J263" s="282"/>
      <c r="K263" s="282"/>
      <c r="L263" s="282"/>
      <c r="M263" s="282"/>
      <c r="N263" s="118"/>
      <c r="O263" s="118"/>
    </row>
    <row r="264" spans="1:15" ht="15">
      <c r="A264" s="235"/>
      <c r="B264" s="282"/>
      <c r="C264" s="282"/>
      <c r="D264" s="282"/>
      <c r="E264" s="282"/>
      <c r="F264" s="282"/>
      <c r="G264" s="282"/>
      <c r="H264" s="282"/>
      <c r="I264" s="282"/>
      <c r="J264" s="282"/>
      <c r="K264" s="282"/>
      <c r="L264" s="282"/>
      <c r="M264" s="282"/>
      <c r="N264" s="118"/>
      <c r="O264" s="118"/>
    </row>
    <row r="265" spans="1:15" ht="15">
      <c r="A265" s="235"/>
      <c r="B265" s="282"/>
      <c r="C265" s="282"/>
      <c r="D265" s="282"/>
      <c r="E265" s="282"/>
      <c r="F265" s="282"/>
      <c r="G265" s="282"/>
      <c r="H265" s="282"/>
      <c r="I265" s="282"/>
      <c r="J265" s="282"/>
      <c r="K265" s="282"/>
      <c r="L265" s="282"/>
      <c r="M265" s="282"/>
      <c r="N265" s="118"/>
      <c r="O265" s="118"/>
    </row>
    <row r="266" spans="1:15" ht="15">
      <c r="A266" s="235"/>
      <c r="B266" s="282"/>
      <c r="C266" s="282"/>
      <c r="D266" s="282"/>
      <c r="E266" s="282"/>
      <c r="F266" s="282"/>
      <c r="G266" s="282"/>
      <c r="H266" s="282"/>
      <c r="I266" s="282"/>
      <c r="J266" s="282"/>
      <c r="K266" s="282"/>
      <c r="L266" s="282"/>
      <c r="M266" s="282"/>
      <c r="N266" s="118"/>
      <c r="O266" s="118"/>
    </row>
    <row r="267" spans="1:15" ht="15">
      <c r="A267" s="235"/>
      <c r="B267" s="282"/>
      <c r="C267" s="282"/>
      <c r="D267" s="282"/>
      <c r="E267" s="282"/>
      <c r="F267" s="282"/>
      <c r="G267" s="282"/>
      <c r="H267" s="282"/>
      <c r="I267" s="282"/>
      <c r="J267" s="282"/>
      <c r="K267" s="282"/>
      <c r="L267" s="282"/>
      <c r="M267" s="282"/>
      <c r="N267" s="118"/>
      <c r="O267" s="118"/>
    </row>
    <row r="268" spans="1:15" ht="15">
      <c r="A268" s="235"/>
      <c r="B268" s="282"/>
      <c r="C268" s="282"/>
      <c r="D268" s="282"/>
      <c r="E268" s="282"/>
      <c r="F268" s="282"/>
      <c r="G268" s="282"/>
      <c r="H268" s="282"/>
      <c r="I268" s="282"/>
      <c r="J268" s="282"/>
      <c r="K268" s="282"/>
      <c r="L268" s="282"/>
      <c r="M268" s="282"/>
      <c r="N268" s="118"/>
      <c r="O268" s="118"/>
    </row>
    <row r="269" spans="1:15" ht="15">
      <c r="A269" s="235"/>
      <c r="B269" s="282"/>
      <c r="C269" s="282"/>
      <c r="D269" s="282"/>
      <c r="E269" s="282"/>
      <c r="F269" s="282"/>
      <c r="G269" s="282"/>
      <c r="H269" s="282"/>
      <c r="I269" s="282"/>
      <c r="J269" s="282"/>
      <c r="K269" s="282"/>
      <c r="L269" s="282"/>
      <c r="M269" s="282"/>
      <c r="N269" s="118"/>
      <c r="O269" s="118"/>
    </row>
    <row r="270" spans="1:15" ht="15">
      <c r="A270" s="235"/>
      <c r="B270" s="282"/>
      <c r="C270" s="282"/>
      <c r="D270" s="282"/>
      <c r="E270" s="282"/>
      <c r="F270" s="282"/>
      <c r="G270" s="282"/>
      <c r="H270" s="282"/>
      <c r="I270" s="282"/>
      <c r="J270" s="282"/>
      <c r="K270" s="282"/>
      <c r="L270" s="282"/>
      <c r="M270" s="282"/>
      <c r="N270" s="118"/>
      <c r="O270" s="118"/>
    </row>
    <row r="271" spans="1:15" ht="15">
      <c r="A271" s="235"/>
      <c r="B271" s="282"/>
      <c r="C271" s="282"/>
      <c r="D271" s="282"/>
      <c r="E271" s="282"/>
      <c r="F271" s="282"/>
      <c r="G271" s="282"/>
      <c r="H271" s="282"/>
      <c r="I271" s="282"/>
      <c r="J271" s="282"/>
      <c r="K271" s="282"/>
      <c r="L271" s="282"/>
      <c r="M271" s="282"/>
      <c r="N271" s="118"/>
      <c r="O271" s="118"/>
    </row>
    <row r="272" spans="1:15" ht="15">
      <c r="A272" s="235"/>
      <c r="B272" s="282"/>
      <c r="C272" s="282"/>
      <c r="D272" s="282"/>
      <c r="E272" s="282"/>
      <c r="F272" s="282"/>
      <c r="G272" s="282"/>
      <c r="H272" s="282"/>
      <c r="I272" s="282"/>
      <c r="J272" s="282"/>
      <c r="K272" s="282"/>
      <c r="L272" s="282"/>
      <c r="M272" s="282"/>
      <c r="N272" s="118"/>
      <c r="O272" s="118"/>
    </row>
    <row r="273" spans="1:15" ht="15">
      <c r="A273" s="235"/>
      <c r="B273" s="282"/>
      <c r="C273" s="282"/>
      <c r="D273" s="282"/>
      <c r="E273" s="282"/>
      <c r="F273" s="282"/>
      <c r="G273" s="282"/>
      <c r="H273" s="282"/>
      <c r="I273" s="282"/>
      <c r="J273" s="282"/>
      <c r="K273" s="282"/>
      <c r="L273" s="282"/>
      <c r="M273" s="282"/>
      <c r="N273" s="118"/>
      <c r="O273" s="118"/>
    </row>
    <row r="274" spans="1:15" ht="15">
      <c r="A274" s="235"/>
      <c r="B274" s="282"/>
      <c r="C274" s="282"/>
      <c r="D274" s="282"/>
      <c r="E274" s="282"/>
      <c r="F274" s="282"/>
      <c r="G274" s="282"/>
      <c r="H274" s="282"/>
      <c r="I274" s="282"/>
      <c r="J274" s="282"/>
      <c r="K274" s="282"/>
      <c r="L274" s="282"/>
      <c r="M274" s="282"/>
      <c r="N274" s="118"/>
      <c r="O274" s="118"/>
    </row>
    <row r="275" spans="1:15" ht="15">
      <c r="A275" s="235"/>
      <c r="B275" s="282"/>
      <c r="C275" s="282"/>
      <c r="D275" s="282"/>
      <c r="E275" s="282"/>
      <c r="F275" s="282"/>
      <c r="G275" s="282"/>
      <c r="H275" s="282"/>
      <c r="I275" s="282"/>
      <c r="J275" s="282"/>
      <c r="K275" s="282"/>
      <c r="L275" s="282"/>
      <c r="M275" s="282"/>
      <c r="N275" s="118"/>
      <c r="O275" s="118"/>
    </row>
    <row r="276" spans="1:15" ht="15">
      <c r="A276" s="235"/>
      <c r="B276" s="282"/>
      <c r="C276" s="282"/>
      <c r="D276" s="282"/>
      <c r="E276" s="282"/>
      <c r="F276" s="282"/>
      <c r="G276" s="282"/>
      <c r="H276" s="282"/>
      <c r="I276" s="282"/>
      <c r="J276" s="282"/>
      <c r="K276" s="282"/>
      <c r="L276" s="282"/>
      <c r="M276" s="282"/>
      <c r="N276" s="118"/>
      <c r="O276" s="118"/>
    </row>
    <row r="277" spans="1:15" ht="15">
      <c r="A277" s="235"/>
      <c r="B277" s="282"/>
      <c r="C277" s="282"/>
      <c r="D277" s="282"/>
      <c r="E277" s="282"/>
      <c r="F277" s="282"/>
      <c r="G277" s="282"/>
      <c r="H277" s="282"/>
      <c r="I277" s="282"/>
      <c r="J277" s="282"/>
      <c r="K277" s="282"/>
      <c r="L277" s="282"/>
      <c r="M277" s="282"/>
      <c r="N277" s="118"/>
      <c r="O277" s="118"/>
    </row>
    <row r="278" spans="1:15" ht="15">
      <c r="A278" s="235"/>
      <c r="B278" s="282"/>
      <c r="C278" s="282"/>
      <c r="D278" s="282"/>
      <c r="E278" s="282"/>
      <c r="F278" s="282"/>
      <c r="G278" s="282"/>
      <c r="H278" s="282"/>
      <c r="I278" s="282"/>
      <c r="J278" s="282"/>
      <c r="K278" s="282"/>
      <c r="L278" s="282"/>
      <c r="M278" s="282"/>
      <c r="N278" s="118"/>
      <c r="O278" s="118"/>
    </row>
    <row r="279" spans="1:15" ht="15">
      <c r="A279" s="235"/>
      <c r="B279" s="282"/>
      <c r="C279" s="282"/>
      <c r="D279" s="282"/>
      <c r="E279" s="282"/>
      <c r="F279" s="282"/>
      <c r="G279" s="282"/>
      <c r="H279" s="282"/>
      <c r="I279" s="282"/>
      <c r="J279" s="282"/>
      <c r="K279" s="282"/>
      <c r="L279" s="282"/>
      <c r="M279" s="282"/>
      <c r="N279" s="118"/>
      <c r="O279" s="118"/>
    </row>
    <row r="280" spans="2:15" ht="15"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2:15" ht="15"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2:15" ht="15"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2:15" ht="15"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2:15" ht="15"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2:15" ht="15"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2:15" ht="15"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2:15" ht="15"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2:15" ht="15"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2:15" ht="15"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2:15" ht="15"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2:15" ht="15"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2:15" ht="15"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2:15" ht="15"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2:15" ht="15"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2:15" ht="15"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2:15" ht="15"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2:15" ht="15"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2:15" ht="15"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 ht="15"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 ht="15"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2:15" ht="15"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2:15" ht="15"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2:15" ht="15"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2:15" ht="15"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2:15" ht="15"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2:15" ht="15"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2:15" ht="15"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2:15" ht="15"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2:15" ht="15"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2:15" ht="15"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2:15" ht="15"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2:15" ht="15"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2:15" ht="15"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2:15" ht="15"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2:15" ht="15"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2:15" ht="15"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2:15" ht="15"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2:15" ht="15"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2:15" ht="15"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2:15" ht="15"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2:15" ht="15"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2:15" ht="15"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2:15" ht="15"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2:15" ht="15"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2:15" ht="15">
      <c r="B325" s="118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2:15" ht="15"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2:15" ht="15">
      <c r="B327" s="118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2:15" ht="15">
      <c r="B328" s="118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2:15" ht="15">
      <c r="B329" s="118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2:15" ht="15">
      <c r="B330" s="118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2:15" ht="15">
      <c r="B331" s="118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</sheetData>
  <sheetProtection/>
  <printOptions horizontalCentered="1"/>
  <pageMargins left="0" right="0" top="1" bottom="0.25" header="0.5" footer="0.5"/>
  <pageSetup blackAndWhite="1" fitToHeight="1" fitToWidth="1" horizontalDpi="300" verticalDpi="300" orientation="portrait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65" zoomScaleNormal="6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8" sqref="C8"/>
    </sheetView>
  </sheetViews>
  <sheetFormatPr defaultColWidth="9.140625" defaultRowHeight="12.75"/>
  <cols>
    <col min="1" max="1" width="37.7109375" style="95" customWidth="1"/>
    <col min="2" max="2" width="16.8515625" style="95" customWidth="1"/>
    <col min="3" max="3" width="13.28125" style="95" customWidth="1"/>
    <col min="4" max="4" width="15.7109375" style="95" customWidth="1"/>
    <col min="5" max="5" width="17.57421875" style="95" customWidth="1"/>
    <col min="6" max="6" width="18.140625" style="95" customWidth="1"/>
    <col min="7" max="7" width="18.421875" style="95" customWidth="1"/>
    <col min="8" max="8" width="10.00390625" style="95" customWidth="1"/>
    <col min="9" max="9" width="10.28125" style="95" customWidth="1"/>
    <col min="10" max="10" width="18.421875" style="95" customWidth="1"/>
    <col min="11" max="11" width="12.00390625" style="95" customWidth="1"/>
    <col min="12" max="16384" width="9.140625" style="95" customWidth="1"/>
  </cols>
  <sheetData>
    <row r="1" spans="1:11" ht="23.25">
      <c r="A1" s="93" t="s">
        <v>33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8">
      <c r="A2" s="96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8">
      <c r="A3" s="96" t="s">
        <v>119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8.75" thickBot="1">
      <c r="A4" s="131">
        <f>INPUT!B3</f>
        <v>0</v>
      </c>
      <c r="B4" s="97"/>
      <c r="C4" s="97"/>
      <c r="D4" s="96"/>
      <c r="E4" s="96"/>
      <c r="F4" s="97"/>
      <c r="G4" s="97"/>
      <c r="H4" s="97"/>
      <c r="I4" s="97"/>
      <c r="J4" s="97"/>
      <c r="K4" s="97"/>
    </row>
    <row r="5" spans="1:11" ht="14.25">
      <c r="A5" s="98"/>
      <c r="B5" s="99" t="s">
        <v>35</v>
      </c>
      <c r="C5" s="100" t="s">
        <v>36</v>
      </c>
      <c r="D5" s="100" t="s">
        <v>37</v>
      </c>
      <c r="E5" s="100" t="s">
        <v>36</v>
      </c>
      <c r="F5" s="100" t="s">
        <v>23</v>
      </c>
      <c r="G5" s="100" t="s">
        <v>35</v>
      </c>
      <c r="H5" s="100" t="s">
        <v>124</v>
      </c>
      <c r="I5" s="100" t="s">
        <v>117</v>
      </c>
      <c r="J5" s="100" t="s">
        <v>126</v>
      </c>
      <c r="K5" s="100" t="s">
        <v>38</v>
      </c>
    </row>
    <row r="6" spans="1:11" ht="15.75" thickBot="1">
      <c r="A6" s="101"/>
      <c r="B6" s="102" t="s">
        <v>39</v>
      </c>
      <c r="C6" s="103" t="s">
        <v>39</v>
      </c>
      <c r="D6" s="103" t="s">
        <v>39</v>
      </c>
      <c r="E6" s="103" t="s">
        <v>40</v>
      </c>
      <c r="F6" s="103" t="s">
        <v>40</v>
      </c>
      <c r="G6" s="103" t="s">
        <v>40</v>
      </c>
      <c r="H6" s="103" t="s">
        <v>125</v>
      </c>
      <c r="I6" s="103" t="s">
        <v>118</v>
      </c>
      <c r="J6" s="103" t="s">
        <v>127</v>
      </c>
      <c r="K6" s="103" t="s">
        <v>41</v>
      </c>
    </row>
    <row r="7" spans="1:11" ht="15.75" thickBot="1">
      <c r="A7" s="104" t="s">
        <v>20</v>
      </c>
      <c r="B7" s="159">
        <v>57702591</v>
      </c>
      <c r="C7" s="160">
        <v>1878632</v>
      </c>
      <c r="D7" s="105">
        <f aca="true" t="shared" si="0" ref="D7:D15">(B7-C7)</f>
        <v>55823959</v>
      </c>
      <c r="E7" s="105">
        <f>ROUND($B$24*C7,0)</f>
        <v>0</v>
      </c>
      <c r="F7" s="105">
        <f>ROUND(($B$23*D7)/100,0)</f>
        <v>0</v>
      </c>
      <c r="G7" s="125">
        <f aca="true" t="shared" si="1" ref="G7:G14">ROUND((E7+F7),2)</f>
        <v>0</v>
      </c>
      <c r="H7" s="140">
        <f>ROUND(G7/B7,4)</f>
        <v>0</v>
      </c>
      <c r="I7" s="140">
        <f>INPUT!B40</f>
        <v>0</v>
      </c>
      <c r="J7" s="140">
        <f>INPUT!$B$59</f>
        <v>-0.0002</v>
      </c>
      <c r="K7" s="141">
        <f>SUM(H7:J7)</f>
        <v>-0.0002</v>
      </c>
    </row>
    <row r="8" spans="1:11" ht="15.75" thickBot="1">
      <c r="A8" s="104" t="s">
        <v>42</v>
      </c>
      <c r="B8" s="161">
        <v>46791732</v>
      </c>
      <c r="C8" s="162">
        <v>918786</v>
      </c>
      <c r="D8" s="106">
        <f t="shared" si="0"/>
        <v>45872946</v>
      </c>
      <c r="E8" s="106">
        <f aca="true" t="shared" si="2" ref="E8:E14">ROUND($B$24*C8,0)</f>
        <v>0</v>
      </c>
      <c r="F8" s="106">
        <f aca="true" t="shared" si="3" ref="F8:F14">ROUND(($B$23*D8)/100,0)</f>
        <v>0</v>
      </c>
      <c r="G8" s="142">
        <f t="shared" si="1"/>
        <v>0</v>
      </c>
      <c r="H8" s="143">
        <f aca="true" t="shared" si="4" ref="H8:H20">ROUND(G8/B8,4)</f>
        <v>0</v>
      </c>
      <c r="I8" s="143">
        <f>INPUT!B41</f>
        <v>0.0001</v>
      </c>
      <c r="J8" s="143">
        <f>INPUT!$B$59</f>
        <v>-0.0002</v>
      </c>
      <c r="K8" s="144">
        <f aca="true" t="shared" si="5" ref="K8:K20">SUM(H8:J8)</f>
        <v>-0.0001</v>
      </c>
    </row>
    <row r="9" spans="1:11" ht="15.75" thickBot="1">
      <c r="A9" s="104" t="s">
        <v>43</v>
      </c>
      <c r="B9" s="161">
        <v>24103784</v>
      </c>
      <c r="C9" s="162">
        <v>235495</v>
      </c>
      <c r="D9" s="106">
        <f t="shared" si="0"/>
        <v>23868289</v>
      </c>
      <c r="E9" s="106">
        <f t="shared" si="2"/>
        <v>0</v>
      </c>
      <c r="F9" s="106">
        <f t="shared" si="3"/>
        <v>0</v>
      </c>
      <c r="G9" s="142">
        <f t="shared" si="1"/>
        <v>0</v>
      </c>
      <c r="H9" s="143">
        <f t="shared" si="4"/>
        <v>0</v>
      </c>
      <c r="I9" s="143">
        <f>INPUT!B42</f>
        <v>0.0002</v>
      </c>
      <c r="J9" s="143">
        <f>INPUT!$B$59</f>
        <v>-0.0002</v>
      </c>
      <c r="K9" s="144">
        <f t="shared" si="5"/>
        <v>0</v>
      </c>
    </row>
    <row r="10" spans="1:11" ht="15.75" thickBot="1">
      <c r="A10" s="104" t="s">
        <v>44</v>
      </c>
      <c r="B10" s="161">
        <v>17345742</v>
      </c>
      <c r="C10" s="162">
        <v>14884</v>
      </c>
      <c r="D10" s="106">
        <f t="shared" si="0"/>
        <v>17330858</v>
      </c>
      <c r="E10" s="106">
        <f t="shared" si="2"/>
        <v>0</v>
      </c>
      <c r="F10" s="106">
        <f t="shared" si="3"/>
        <v>0</v>
      </c>
      <c r="G10" s="142">
        <f t="shared" si="1"/>
        <v>0</v>
      </c>
      <c r="H10" s="143">
        <f t="shared" si="4"/>
        <v>0</v>
      </c>
      <c r="I10" s="143">
        <f>INPUT!B43</f>
        <v>0.0009</v>
      </c>
      <c r="J10" s="143">
        <f>INPUT!$B$59</f>
        <v>-0.0002</v>
      </c>
      <c r="K10" s="144">
        <f t="shared" si="5"/>
        <v>0.0007</v>
      </c>
    </row>
    <row r="11" spans="1:11" ht="15.75" thickBot="1">
      <c r="A11" s="104" t="s">
        <v>24</v>
      </c>
      <c r="B11" s="161">
        <v>3841070</v>
      </c>
      <c r="C11" s="162">
        <v>126008</v>
      </c>
      <c r="D11" s="106">
        <f t="shared" si="0"/>
        <v>3715062</v>
      </c>
      <c r="E11" s="106">
        <f t="shared" si="2"/>
        <v>0</v>
      </c>
      <c r="F11" s="106">
        <f t="shared" si="3"/>
        <v>0</v>
      </c>
      <c r="G11" s="142">
        <f t="shared" si="1"/>
        <v>0</v>
      </c>
      <c r="H11" s="143">
        <f t="shared" si="4"/>
        <v>0</v>
      </c>
      <c r="I11" s="143">
        <f>INPUT!B44</f>
        <v>0</v>
      </c>
      <c r="J11" s="143">
        <f>INPUT!$B$59</f>
        <v>-0.0002</v>
      </c>
      <c r="K11" s="144">
        <f t="shared" si="5"/>
        <v>-0.0002</v>
      </c>
    </row>
    <row r="12" spans="1:11" ht="15.75" thickBot="1">
      <c r="A12" s="104" t="s">
        <v>45</v>
      </c>
      <c r="B12" s="161">
        <v>11184133</v>
      </c>
      <c r="C12" s="162">
        <v>135439</v>
      </c>
      <c r="D12" s="106">
        <f t="shared" si="0"/>
        <v>11048694</v>
      </c>
      <c r="E12" s="106">
        <f t="shared" si="2"/>
        <v>0</v>
      </c>
      <c r="F12" s="106">
        <f t="shared" si="3"/>
        <v>0</v>
      </c>
      <c r="G12" s="142">
        <f t="shared" si="1"/>
        <v>0</v>
      </c>
      <c r="H12" s="143">
        <f t="shared" si="4"/>
        <v>0</v>
      </c>
      <c r="I12" s="143">
        <f>INPUT!B45</f>
        <v>0</v>
      </c>
      <c r="J12" s="143">
        <f>INPUT!$B$59</f>
        <v>-0.0002</v>
      </c>
      <c r="K12" s="144">
        <f t="shared" si="5"/>
        <v>-0.0002</v>
      </c>
    </row>
    <row r="13" spans="1:11" ht="15.75" thickBot="1">
      <c r="A13" s="104" t="s">
        <v>199</v>
      </c>
      <c r="B13" s="161">
        <v>8368901</v>
      </c>
      <c r="C13" s="162">
        <v>10369</v>
      </c>
      <c r="D13" s="106">
        <f t="shared" si="0"/>
        <v>8358532</v>
      </c>
      <c r="E13" s="106">
        <f t="shared" si="2"/>
        <v>0</v>
      </c>
      <c r="F13" s="106">
        <f t="shared" si="3"/>
        <v>0</v>
      </c>
      <c r="G13" s="142">
        <f t="shared" si="1"/>
        <v>0</v>
      </c>
      <c r="H13" s="143">
        <f t="shared" si="4"/>
        <v>0</v>
      </c>
      <c r="I13" s="143">
        <f>INPUT!B46</f>
        <v>0</v>
      </c>
      <c r="J13" s="143">
        <f>INPUT!$B$59</f>
        <v>-0.0002</v>
      </c>
      <c r="K13" s="144">
        <f>SUM(H13:J13)</f>
        <v>-0.0002</v>
      </c>
    </row>
    <row r="14" spans="1:11" ht="15.75" thickBot="1">
      <c r="A14" s="104" t="s">
        <v>26</v>
      </c>
      <c r="B14" s="161">
        <v>1017262</v>
      </c>
      <c r="C14" s="162">
        <v>20925</v>
      </c>
      <c r="D14" s="106">
        <f t="shared" si="0"/>
        <v>996337</v>
      </c>
      <c r="E14" s="106">
        <f t="shared" si="2"/>
        <v>0</v>
      </c>
      <c r="F14" s="106">
        <f t="shared" si="3"/>
        <v>0</v>
      </c>
      <c r="G14" s="142">
        <f t="shared" si="1"/>
        <v>0</v>
      </c>
      <c r="H14" s="143">
        <f t="shared" si="4"/>
        <v>0</v>
      </c>
      <c r="I14" s="143">
        <f>INPUT!B47</f>
        <v>0.007</v>
      </c>
      <c r="J14" s="143">
        <f>INPUT!$B$59</f>
        <v>-0.0002</v>
      </c>
      <c r="K14" s="144">
        <f t="shared" si="5"/>
        <v>0.0068000000000000005</v>
      </c>
    </row>
    <row r="15" spans="1:11" ht="15.75" thickBot="1">
      <c r="A15" s="104" t="s">
        <v>158</v>
      </c>
      <c r="B15" s="161">
        <v>797631</v>
      </c>
      <c r="C15" s="162">
        <v>51716</v>
      </c>
      <c r="D15" s="106">
        <f t="shared" si="0"/>
        <v>745915</v>
      </c>
      <c r="E15" s="106">
        <f>ROUND($B$24*C15,0)</f>
        <v>0</v>
      </c>
      <c r="F15" s="106">
        <f>ROUND(($B$23*D15)/100,0)</f>
        <v>0</v>
      </c>
      <c r="G15" s="142">
        <f aca="true" t="shared" si="6" ref="G15:G20">ROUND((E15+F15),2)</f>
        <v>0</v>
      </c>
      <c r="H15" s="143">
        <f>ROUND(G15/B15,4)</f>
        <v>0</v>
      </c>
      <c r="I15" s="143">
        <f>INPUT!B48</f>
        <v>0.1436</v>
      </c>
      <c r="J15" s="143">
        <f>INPUT!$B$59</f>
        <v>-0.0002</v>
      </c>
      <c r="K15" s="144">
        <f>SUM(H15:J15)</f>
        <v>0.1434</v>
      </c>
    </row>
    <row r="16" spans="1:11" ht="15.75" thickBot="1">
      <c r="A16" s="104" t="s">
        <v>47</v>
      </c>
      <c r="B16" s="161">
        <v>100000</v>
      </c>
      <c r="C16" s="162">
        <v>10500</v>
      </c>
      <c r="D16" s="106">
        <f>(B16-C16)</f>
        <v>89500</v>
      </c>
      <c r="E16" s="106">
        <f>ROUND($C$24*C16,0)</f>
        <v>0</v>
      </c>
      <c r="F16" s="106">
        <f>ROUND(($C$23*D16)/100,0)</f>
        <v>0</v>
      </c>
      <c r="G16" s="142">
        <f t="shared" si="6"/>
        <v>0</v>
      </c>
      <c r="H16" s="143">
        <f t="shared" si="4"/>
        <v>0</v>
      </c>
      <c r="I16" s="142"/>
      <c r="J16" s="142"/>
      <c r="K16" s="144">
        <f t="shared" si="5"/>
        <v>0</v>
      </c>
    </row>
    <row r="17" spans="1:11" ht="15.75" thickBot="1">
      <c r="A17" s="104" t="s">
        <v>65</v>
      </c>
      <c r="B17" s="161">
        <v>100000</v>
      </c>
      <c r="C17" s="162">
        <v>18000</v>
      </c>
      <c r="D17" s="106">
        <f>(B17-C17)</f>
        <v>82000</v>
      </c>
      <c r="E17" s="106">
        <f>ROUND($C$24*C17,0)</f>
        <v>0</v>
      </c>
      <c r="F17" s="106">
        <f>ROUND(($C$23*D17)/100,0)</f>
        <v>0</v>
      </c>
      <c r="G17" s="142">
        <f t="shared" si="6"/>
        <v>0</v>
      </c>
      <c r="H17" s="143">
        <f t="shared" si="4"/>
        <v>0</v>
      </c>
      <c r="I17" s="142"/>
      <c r="J17" s="142"/>
      <c r="K17" s="144">
        <f t="shared" si="5"/>
        <v>0</v>
      </c>
    </row>
    <row r="18" spans="1:11" ht="15.75" thickBot="1">
      <c r="A18" s="104" t="s">
        <v>64</v>
      </c>
      <c r="B18" s="161">
        <v>100000</v>
      </c>
      <c r="C18" s="162">
        <v>18000</v>
      </c>
      <c r="D18" s="106">
        <f>(B18-C18)</f>
        <v>82000</v>
      </c>
      <c r="E18" s="106">
        <f>ROUND($C$24*C18,0)</f>
        <v>0</v>
      </c>
      <c r="F18" s="106">
        <f>ROUND(($C$23*D18)/100,0)</f>
        <v>0</v>
      </c>
      <c r="G18" s="142">
        <f t="shared" si="6"/>
        <v>0</v>
      </c>
      <c r="H18" s="143">
        <f>ROUND(G18/B18,4)</f>
        <v>0</v>
      </c>
      <c r="I18" s="142"/>
      <c r="J18" s="142"/>
      <c r="K18" s="144">
        <f>SUM(H18:J18)</f>
        <v>0</v>
      </c>
    </row>
    <row r="19" spans="1:11" ht="15.75" thickBot="1">
      <c r="A19" s="104" t="s">
        <v>48</v>
      </c>
      <c r="B19" s="161">
        <v>100000</v>
      </c>
      <c r="C19" s="162">
        <v>30000</v>
      </c>
      <c r="D19" s="106">
        <f>(B19-C19)</f>
        <v>70000</v>
      </c>
      <c r="E19" s="106">
        <f>ROUND($C$24*C19,0)</f>
        <v>0</v>
      </c>
      <c r="F19" s="106">
        <f>ROUND(($C$23*D19)/100,0)</f>
        <v>0</v>
      </c>
      <c r="G19" s="142">
        <f t="shared" si="6"/>
        <v>0</v>
      </c>
      <c r="H19" s="143">
        <f t="shared" si="4"/>
        <v>0</v>
      </c>
      <c r="I19" s="142"/>
      <c r="J19" s="142"/>
      <c r="K19" s="144">
        <f t="shared" si="5"/>
        <v>0</v>
      </c>
    </row>
    <row r="20" spans="1:11" ht="15.75" thickBot="1">
      <c r="A20" s="104" t="s">
        <v>49</v>
      </c>
      <c r="B20" s="163">
        <v>100000</v>
      </c>
      <c r="C20" s="164">
        <v>36000</v>
      </c>
      <c r="D20" s="145">
        <f>(B20-C20)</f>
        <v>64000</v>
      </c>
      <c r="E20" s="145">
        <f>ROUND($C$24*C20,0)</f>
        <v>0</v>
      </c>
      <c r="F20" s="145">
        <f>ROUND(($C$23*D20)/100,0)</f>
        <v>0</v>
      </c>
      <c r="G20" s="146">
        <f t="shared" si="6"/>
        <v>0</v>
      </c>
      <c r="H20" s="147">
        <f t="shared" si="4"/>
        <v>0</v>
      </c>
      <c r="I20" s="146"/>
      <c r="J20" s="146"/>
      <c r="K20" s="148">
        <f t="shared" si="5"/>
        <v>0</v>
      </c>
    </row>
    <row r="22" spans="2:3" ht="12.75">
      <c r="B22" s="95" t="s">
        <v>120</v>
      </c>
      <c r="C22" s="95" t="s">
        <v>121</v>
      </c>
    </row>
    <row r="23" spans="1:3" ht="12.75">
      <c r="A23" s="95" t="s">
        <v>122</v>
      </c>
      <c r="B23" s="123">
        <f>CL_I_SKIM_RATE</f>
        <v>0</v>
      </c>
      <c r="C23" s="124">
        <f>INPUT!B7</f>
        <v>0</v>
      </c>
    </row>
    <row r="24" spans="1:3" ht="12.75">
      <c r="A24" s="95" t="s">
        <v>123</v>
      </c>
      <c r="B24" s="132">
        <f>INPUT!B6</f>
        <v>0</v>
      </c>
      <c r="C24" s="95">
        <f>INPUT!B8</f>
        <v>0</v>
      </c>
    </row>
  </sheetData>
  <sheetProtection/>
  <printOptions gridLines="1"/>
  <pageMargins left="0.75" right="0.75" top="1" bottom="1" header="0.5" footer="0.5"/>
  <pageSetup blackAndWhite="1" fitToHeight="1" fitToWidth="1" horizontalDpi="300" verticalDpi="300" orientation="landscape" scale="63" r:id="rId1"/>
  <headerFooter alignWithMargins="0">
    <oddFooter>&amp;L&amp;D&amp;CPage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2" width="3.7109375" style="0" customWidth="1"/>
    <col min="3" max="3" width="31.00390625" style="0" customWidth="1"/>
    <col min="4" max="4" width="13.140625" style="0" customWidth="1"/>
    <col min="5" max="5" width="10.57421875" style="0" customWidth="1"/>
    <col min="6" max="7" width="11.7109375" style="0" customWidth="1"/>
    <col min="8" max="8" width="13.28125" style="0" customWidth="1"/>
    <col min="9" max="9" width="7.140625" style="0" customWidth="1"/>
  </cols>
  <sheetData>
    <row r="1" spans="3:9" ht="12.75">
      <c r="C1" s="3" t="s">
        <v>33</v>
      </c>
      <c r="D1" s="3"/>
      <c r="E1" s="3"/>
      <c r="F1" s="3"/>
      <c r="G1" s="3"/>
      <c r="H1" s="3"/>
      <c r="I1" s="3"/>
    </row>
    <row r="2" spans="3:9" ht="12.75">
      <c r="C2" s="3" t="s">
        <v>143</v>
      </c>
      <c r="D2" s="3"/>
      <c r="E2" s="3"/>
      <c r="F2" s="3"/>
      <c r="G2" s="3"/>
      <c r="H2" s="3"/>
      <c r="I2" s="3"/>
    </row>
    <row r="3" spans="3:9" ht="13.5" thickBot="1">
      <c r="C3" s="107">
        <f ca="1">NOW()</f>
        <v>43633.63753425926</v>
      </c>
      <c r="D3" s="3"/>
      <c r="E3" s="3"/>
      <c r="F3" s="3"/>
      <c r="G3" s="3"/>
      <c r="H3" s="3"/>
      <c r="I3" s="3"/>
    </row>
    <row r="4" spans="4:9" ht="13.5" thickTop="1">
      <c r="D4" s="4" t="s">
        <v>50</v>
      </c>
      <c r="E4" s="4" t="s">
        <v>51</v>
      </c>
      <c r="F4" s="4" t="s">
        <v>52</v>
      </c>
      <c r="G4" s="4" t="s">
        <v>185</v>
      </c>
      <c r="H4" s="4" t="s">
        <v>53</v>
      </c>
      <c r="I4" s="4" t="s">
        <v>35</v>
      </c>
    </row>
    <row r="5" spans="4:9" ht="13.5" thickBot="1">
      <c r="D5" s="5" t="s">
        <v>54</v>
      </c>
      <c r="E5" s="5" t="s">
        <v>40</v>
      </c>
      <c r="F5" s="5" t="s">
        <v>40</v>
      </c>
      <c r="G5" s="5" t="s">
        <v>40</v>
      </c>
      <c r="H5" s="5" t="s">
        <v>40</v>
      </c>
      <c r="I5" s="5" t="s">
        <v>40</v>
      </c>
    </row>
    <row r="6" spans="3:9" ht="14.25" thickBot="1" thickTop="1">
      <c r="C6" s="169"/>
      <c r="D6" s="13"/>
      <c r="E6" s="13"/>
      <c r="F6" s="13"/>
      <c r="G6" s="13"/>
      <c r="H6" s="13"/>
      <c r="I6" s="13"/>
    </row>
    <row r="7" spans="1:9" ht="13.5" thickTop="1">
      <c r="A7" s="283" t="s">
        <v>170</v>
      </c>
      <c r="B7" s="286" t="s">
        <v>171</v>
      </c>
      <c r="C7" s="12" t="s">
        <v>12</v>
      </c>
      <c r="D7" s="15">
        <v>8.6</v>
      </c>
      <c r="E7" s="11">
        <f>ROUND(D7*RAW!$K$7,4)</f>
        <v>-0.0017</v>
      </c>
      <c r="F7" s="14">
        <f>INPUT!$B$13</f>
        <v>0</v>
      </c>
      <c r="G7" s="14">
        <f>G9*4</f>
        <v>0</v>
      </c>
      <c r="H7" s="11">
        <f>+H9*4</f>
        <v>1.0648</v>
      </c>
      <c r="I7" s="14">
        <f>ROUND(SUM(E7:H7),4)</f>
        <v>1.0631</v>
      </c>
    </row>
    <row r="8" spans="1:9" ht="12.75">
      <c r="A8" s="284"/>
      <c r="B8" s="287"/>
      <c r="C8" s="12" t="s">
        <v>55</v>
      </c>
      <c r="D8" s="15">
        <v>4.3</v>
      </c>
      <c r="E8" s="11">
        <f>ROUND(D8*RAW!$K$7,4)</f>
        <v>-0.0009</v>
      </c>
      <c r="F8" s="14">
        <f>INPUT!$B$14</f>
        <v>0</v>
      </c>
      <c r="G8" s="14">
        <f>G9*2</f>
        <v>0</v>
      </c>
      <c r="H8" s="11">
        <f>+H9*2</f>
        <v>0.5324</v>
      </c>
      <c r="I8" s="14">
        <f aca="true" t="shared" si="0" ref="I8:I15">ROUND(SUM(E8:H8),4)</f>
        <v>0.5315</v>
      </c>
    </row>
    <row r="9" spans="1:9" ht="12.75">
      <c r="A9" s="284"/>
      <c r="B9" s="287"/>
      <c r="C9" s="12" t="s">
        <v>14</v>
      </c>
      <c r="D9" s="15">
        <v>2.15</v>
      </c>
      <c r="E9" s="11">
        <f>ROUND(D9*RAW!$K$7,4)</f>
        <v>-0.0004</v>
      </c>
      <c r="F9" s="14">
        <f>INPUT!$B$15</f>
        <v>0</v>
      </c>
      <c r="G9" s="14">
        <f>INPUT!B$36</f>
        <v>0</v>
      </c>
      <c r="H9" s="11">
        <f>INPUT!$B$30</f>
        <v>0.2662</v>
      </c>
      <c r="I9" s="14">
        <f t="shared" si="0"/>
        <v>0.2658</v>
      </c>
    </row>
    <row r="10" spans="1:9" ht="12.75">
      <c r="A10" s="284"/>
      <c r="B10" s="287"/>
      <c r="C10" s="12" t="s">
        <v>15</v>
      </c>
      <c r="D10" s="15">
        <v>1.075</v>
      </c>
      <c r="E10" s="11">
        <f>ROUND(D10*RAW!$K$7,4)</f>
        <v>-0.0002</v>
      </c>
      <c r="F10" s="14">
        <f>INPUT!$B$16</f>
        <v>0</v>
      </c>
      <c r="G10" s="14">
        <f>ROUND(G9/2,4)</f>
        <v>0</v>
      </c>
      <c r="H10" s="11">
        <f>ROUND($H$9/2,4)</f>
        <v>0.1331</v>
      </c>
      <c r="I10" s="14">
        <f t="shared" si="0"/>
        <v>0.1329</v>
      </c>
    </row>
    <row r="11" spans="1:9" ht="12.75">
      <c r="A11" s="284"/>
      <c r="B11" s="287"/>
      <c r="C11" s="7" t="s">
        <v>190</v>
      </c>
      <c r="D11" s="15">
        <f>D12/10*12</f>
        <v>0.8062499999999999</v>
      </c>
      <c r="E11" s="11">
        <f>ROUND(D11*RAW!$K$7,4)</f>
        <v>-0.0002</v>
      </c>
      <c r="F11" s="14">
        <f>INPUT!$B$17</f>
        <v>0.063</v>
      </c>
      <c r="G11" s="14">
        <f>ROUND(G9/32*12,4)</f>
        <v>0</v>
      </c>
      <c r="H11" s="11">
        <f>ROUND($H$9/32*12,4)</f>
        <v>0.0998</v>
      </c>
      <c r="I11" s="14">
        <f t="shared" si="0"/>
        <v>0.1626</v>
      </c>
    </row>
    <row r="12" spans="1:9" ht="12.75">
      <c r="A12" s="284"/>
      <c r="B12" s="287"/>
      <c r="C12" s="12" t="s">
        <v>56</v>
      </c>
      <c r="D12" s="15">
        <v>0.671875</v>
      </c>
      <c r="E12" s="11">
        <f>ROUND(D12*RAW!$K$7,4)</f>
        <v>-0.0001</v>
      </c>
      <c r="F12" s="14">
        <f>INPUT!$B$18</f>
        <v>0.0587</v>
      </c>
      <c r="G12" s="14">
        <f>ROUND(G9/32*10,4)</f>
        <v>0</v>
      </c>
      <c r="H12" s="11">
        <f>ROUND($H$9/32*10,4)</f>
        <v>0.0832</v>
      </c>
      <c r="I12" s="14">
        <f t="shared" si="0"/>
        <v>0.1418</v>
      </c>
    </row>
    <row r="13" spans="1:9" ht="12.75">
      <c r="A13" s="284"/>
      <c r="B13" s="287"/>
      <c r="C13" s="12" t="s">
        <v>57</v>
      </c>
      <c r="D13" s="15">
        <v>0.5375</v>
      </c>
      <c r="E13" s="11">
        <f>ROUND(D13*RAW!$K$7,4)</f>
        <v>-0.0001</v>
      </c>
      <c r="F13" s="14">
        <f>INPUT!$B$19</f>
        <v>0</v>
      </c>
      <c r="G13" s="14">
        <f>ROUND(G9/4,4)</f>
        <v>0</v>
      </c>
      <c r="H13" s="11">
        <f>ROUND($H$9/4,4)</f>
        <v>0.0666</v>
      </c>
      <c r="I13" s="14">
        <f t="shared" si="0"/>
        <v>0.0665</v>
      </c>
    </row>
    <row r="14" spans="1:9" ht="12.75">
      <c r="A14" s="284"/>
      <c r="B14" s="287"/>
      <c r="C14" s="12" t="s">
        <v>58</v>
      </c>
      <c r="D14" s="15">
        <v>0.26875</v>
      </c>
      <c r="E14" s="11">
        <f>ROUND(D14*RAW!$K$7,4)</f>
        <v>-0.0001</v>
      </c>
      <c r="F14" s="14">
        <f>INPUT!$B$21</f>
        <v>0.0195</v>
      </c>
      <c r="G14" s="14">
        <f>ROUND(G9/32*4,4)</f>
        <v>0</v>
      </c>
      <c r="H14" s="11">
        <f>ROUND($H$9/8,4)</f>
        <v>0.0333</v>
      </c>
      <c r="I14" s="14">
        <f t="shared" si="0"/>
        <v>0.0527</v>
      </c>
    </row>
    <row r="15" spans="1:9" ht="13.5" thickBot="1">
      <c r="A15" s="285"/>
      <c r="B15" s="288"/>
      <c r="C15" s="12" t="s">
        <v>59</v>
      </c>
      <c r="D15" s="15">
        <v>2.15</v>
      </c>
      <c r="E15" s="11">
        <f>ROUND(D15*RAW!$K$7,4)</f>
        <v>-0.0004</v>
      </c>
      <c r="F15" s="14">
        <f>INPUT!$B$22</f>
        <v>0.0374</v>
      </c>
      <c r="G15" s="14">
        <f>G9</f>
        <v>0</v>
      </c>
      <c r="H15" s="11">
        <f>ROUND($H$9,4)</f>
        <v>0.2662</v>
      </c>
      <c r="I15" s="14">
        <f t="shared" si="0"/>
        <v>0.3032</v>
      </c>
    </row>
    <row r="16" spans="3:4" ht="14.25" thickBot="1" thickTop="1">
      <c r="C16" s="168"/>
      <c r="D16" s="16"/>
    </row>
    <row r="17" spans="1:9" ht="13.5" thickTop="1">
      <c r="A17" s="283" t="s">
        <v>172</v>
      </c>
      <c r="B17" s="286" t="s">
        <v>171</v>
      </c>
      <c r="C17" s="8" t="s">
        <v>12</v>
      </c>
      <c r="D17" s="15">
        <v>8.62</v>
      </c>
      <c r="E17" s="14">
        <f>ROUND(D17*RAW!$K$8,4)</f>
        <v>-0.0009</v>
      </c>
      <c r="F17" s="14">
        <f>INPUT!$B$13</f>
        <v>0</v>
      </c>
      <c r="G17" s="14">
        <f>G19*4</f>
        <v>0</v>
      </c>
      <c r="H17" s="11">
        <f>+H19*4</f>
        <v>1.0648</v>
      </c>
      <c r="I17" s="14">
        <f>ROUND(SUM(E17:H17),4)</f>
        <v>1.0639</v>
      </c>
    </row>
    <row r="18" spans="1:9" ht="12.75">
      <c r="A18" s="284"/>
      <c r="B18" s="287"/>
      <c r="C18" s="7" t="s">
        <v>55</v>
      </c>
      <c r="D18" s="15">
        <v>4.31</v>
      </c>
      <c r="E18" s="14">
        <f>ROUND(D18*RAW!$K$8,4)</f>
        <v>-0.0004</v>
      </c>
      <c r="F18" s="14">
        <f>INPUT!$B$14</f>
        <v>0</v>
      </c>
      <c r="G18" s="14">
        <f>G19*2</f>
        <v>0</v>
      </c>
      <c r="H18" s="11">
        <f>+H19*2</f>
        <v>0.5324</v>
      </c>
      <c r="I18" s="14">
        <f aca="true" t="shared" si="1" ref="I18:I25">ROUND(SUM(E18:H18),4)</f>
        <v>0.532</v>
      </c>
    </row>
    <row r="19" spans="1:9" ht="12.75">
      <c r="A19" s="284"/>
      <c r="B19" s="287"/>
      <c r="C19" s="7" t="s">
        <v>14</v>
      </c>
      <c r="D19" s="15">
        <v>2.155</v>
      </c>
      <c r="E19" s="14">
        <f>ROUND(D19*RAW!$K$8,4)</f>
        <v>-0.0002</v>
      </c>
      <c r="F19" s="14">
        <f>INPUT!$B$15</f>
        <v>0</v>
      </c>
      <c r="G19" s="14">
        <f>INPUT!B$36</f>
        <v>0</v>
      </c>
      <c r="H19" s="11">
        <f>INPUT!$B$30</f>
        <v>0.2662</v>
      </c>
      <c r="I19" s="14">
        <f t="shared" si="1"/>
        <v>0.266</v>
      </c>
    </row>
    <row r="20" spans="1:9" ht="12.75">
      <c r="A20" s="284"/>
      <c r="B20" s="287"/>
      <c r="C20" s="7" t="s">
        <v>15</v>
      </c>
      <c r="D20" s="15">
        <v>1.0775</v>
      </c>
      <c r="E20" s="14">
        <f>ROUND(D20*RAW!$K$8,4)</f>
        <v>-0.0001</v>
      </c>
      <c r="F20" s="14">
        <f>INPUT!$B$16</f>
        <v>0</v>
      </c>
      <c r="G20" s="14">
        <f>ROUND(G19/2,4)</f>
        <v>0</v>
      </c>
      <c r="H20" s="11">
        <f>ROUND($H$9/2,4)</f>
        <v>0.1331</v>
      </c>
      <c r="I20" s="14">
        <f t="shared" si="1"/>
        <v>0.133</v>
      </c>
    </row>
    <row r="21" spans="1:9" ht="12.75">
      <c r="A21" s="284"/>
      <c r="B21" s="287"/>
      <c r="C21" s="7" t="s">
        <v>190</v>
      </c>
      <c r="D21" s="15">
        <f>D22/10*12</f>
        <v>0.8081255999999999</v>
      </c>
      <c r="E21" s="14">
        <f>ROUND(D21*RAW!$K$8,4)</f>
        <v>-0.0001</v>
      </c>
      <c r="F21" s="14">
        <f>INPUT!$B$17</f>
        <v>0.063</v>
      </c>
      <c r="G21" s="14">
        <f>ROUND(G19/32*12,4)</f>
        <v>0</v>
      </c>
      <c r="H21" s="11">
        <f>ROUND($H$9/32*12,4)</f>
        <v>0.0998</v>
      </c>
      <c r="I21" s="14">
        <f t="shared" si="1"/>
        <v>0.1627</v>
      </c>
    </row>
    <row r="22" spans="1:9" ht="12.75">
      <c r="A22" s="284"/>
      <c r="B22" s="287"/>
      <c r="C22" s="7" t="s">
        <v>56</v>
      </c>
      <c r="D22" s="15">
        <v>0.673438</v>
      </c>
      <c r="E22" s="14">
        <f>ROUND(D22*RAW!$K$8,4)</f>
        <v>-0.0001</v>
      </c>
      <c r="F22" s="14">
        <f>INPUT!$B$18</f>
        <v>0.0587</v>
      </c>
      <c r="G22" s="14">
        <f>ROUND(G19/32*10,4)</f>
        <v>0</v>
      </c>
      <c r="H22" s="11">
        <f>ROUND($H$9/32*10,4)</f>
        <v>0.0832</v>
      </c>
      <c r="I22" s="14">
        <f t="shared" si="1"/>
        <v>0.1418</v>
      </c>
    </row>
    <row r="23" spans="1:9" ht="12.75">
      <c r="A23" s="284"/>
      <c r="B23" s="287"/>
      <c r="C23" s="7" t="s">
        <v>57</v>
      </c>
      <c r="D23" s="15">
        <v>0.53875</v>
      </c>
      <c r="E23" s="14">
        <f>ROUND(D23*RAW!$K$8,4)</f>
        <v>-0.0001</v>
      </c>
      <c r="F23" s="14">
        <f>INPUT!$B$19</f>
        <v>0</v>
      </c>
      <c r="G23" s="14">
        <f>ROUND(G19/4,4)</f>
        <v>0</v>
      </c>
      <c r="H23" s="11">
        <f>ROUND($H$9/4,4)</f>
        <v>0.0666</v>
      </c>
      <c r="I23" s="14">
        <f t="shared" si="1"/>
        <v>0.0665</v>
      </c>
    </row>
    <row r="24" spans="1:9" ht="12.75">
      <c r="A24" s="284"/>
      <c r="B24" s="287"/>
      <c r="C24" s="7" t="s">
        <v>58</v>
      </c>
      <c r="D24" s="15">
        <v>0.269375</v>
      </c>
      <c r="E24" s="14">
        <f>ROUND(D24*RAW!$K$8,4)</f>
        <v>0</v>
      </c>
      <c r="F24" s="14">
        <f>INPUT!$B$21</f>
        <v>0.0195</v>
      </c>
      <c r="G24" s="14">
        <f>ROUND(G19/32*4,4)</f>
        <v>0</v>
      </c>
      <c r="H24" s="11">
        <f>ROUND($H$9/8,4)</f>
        <v>0.0333</v>
      </c>
      <c r="I24" s="14">
        <f t="shared" si="1"/>
        <v>0.0528</v>
      </c>
    </row>
    <row r="25" spans="1:9" ht="13.5" thickBot="1">
      <c r="A25" s="285"/>
      <c r="B25" s="288"/>
      <c r="C25" s="9" t="s">
        <v>59</v>
      </c>
      <c r="D25" s="15">
        <v>2.155</v>
      </c>
      <c r="E25" s="14">
        <f>ROUND(D25*RAW!$K$8,4)</f>
        <v>-0.0002</v>
      </c>
      <c r="F25" s="14">
        <f>INPUT!$B$22</f>
        <v>0.0374</v>
      </c>
      <c r="G25" s="14">
        <f>G19</f>
        <v>0</v>
      </c>
      <c r="H25" s="11">
        <f>ROUND($H$9,4)</f>
        <v>0.2662</v>
      </c>
      <c r="I25" s="14">
        <f t="shared" si="1"/>
        <v>0.3034</v>
      </c>
    </row>
    <row r="26" spans="3:4" ht="14.25" thickBot="1" thickTop="1">
      <c r="C26" s="168"/>
      <c r="D26" s="16"/>
    </row>
    <row r="27" spans="1:9" ht="13.5" thickTop="1">
      <c r="A27" s="283" t="s">
        <v>173</v>
      </c>
      <c r="B27" s="286" t="s">
        <v>171</v>
      </c>
      <c r="C27" s="8" t="s">
        <v>12</v>
      </c>
      <c r="D27" s="15">
        <v>8.62</v>
      </c>
      <c r="E27" s="14">
        <f>ROUND(D27*RAW!$K$9,4)</f>
        <v>0</v>
      </c>
      <c r="F27" s="14">
        <f>INPUT!$B$13</f>
        <v>0</v>
      </c>
      <c r="G27" s="14">
        <f>G29*4</f>
        <v>0</v>
      </c>
      <c r="H27" s="11">
        <f>+H29*4</f>
        <v>1.0648</v>
      </c>
      <c r="I27" s="14">
        <f>ROUND(SUM(E27:H27),4)</f>
        <v>1.0648</v>
      </c>
    </row>
    <row r="28" spans="1:9" ht="12.75">
      <c r="A28" s="284"/>
      <c r="B28" s="287"/>
      <c r="C28" s="7" t="s">
        <v>55</v>
      </c>
      <c r="D28" s="15">
        <v>4.31</v>
      </c>
      <c r="E28" s="14">
        <f>ROUND(D28*RAW!$K$9,4)</f>
        <v>0</v>
      </c>
      <c r="F28" s="14">
        <f>INPUT!$B$14</f>
        <v>0</v>
      </c>
      <c r="G28" s="14">
        <f>G29*2</f>
        <v>0</v>
      </c>
      <c r="H28" s="11">
        <f>+H29*2</f>
        <v>0.5324</v>
      </c>
      <c r="I28" s="14">
        <f aca="true" t="shared" si="2" ref="I28:I35">ROUND(SUM(E28:H28),4)</f>
        <v>0.5324</v>
      </c>
    </row>
    <row r="29" spans="1:9" ht="12.75">
      <c r="A29" s="284"/>
      <c r="B29" s="287"/>
      <c r="C29" s="7" t="s">
        <v>14</v>
      </c>
      <c r="D29" s="15">
        <v>2.155</v>
      </c>
      <c r="E29" s="14">
        <f>ROUND(D29*RAW!$K$9,4)</f>
        <v>0</v>
      </c>
      <c r="F29" s="14">
        <f>INPUT!$B$15</f>
        <v>0</v>
      </c>
      <c r="G29" s="14">
        <f>INPUT!B$36</f>
        <v>0</v>
      </c>
      <c r="H29" s="11">
        <f>INPUT!$B$30</f>
        <v>0.2662</v>
      </c>
      <c r="I29" s="14">
        <f t="shared" si="2"/>
        <v>0.2662</v>
      </c>
    </row>
    <row r="30" spans="1:9" ht="12.75">
      <c r="A30" s="284"/>
      <c r="B30" s="287"/>
      <c r="C30" s="7" t="s">
        <v>15</v>
      </c>
      <c r="D30" s="15">
        <v>1.0775</v>
      </c>
      <c r="E30" s="14">
        <f>ROUND(D30*RAW!$K$9,4)</f>
        <v>0</v>
      </c>
      <c r="F30" s="14">
        <f>INPUT!$B$16</f>
        <v>0</v>
      </c>
      <c r="G30" s="14">
        <f>ROUND(G29/2,4)</f>
        <v>0</v>
      </c>
      <c r="H30" s="11">
        <f>ROUND($H$9/2,4)</f>
        <v>0.1331</v>
      </c>
      <c r="I30" s="14">
        <f t="shared" si="2"/>
        <v>0.1331</v>
      </c>
    </row>
    <row r="31" spans="1:9" ht="12.75">
      <c r="A31" s="284"/>
      <c r="B31" s="287"/>
      <c r="C31" s="7" t="s">
        <v>190</v>
      </c>
      <c r="D31" s="15">
        <f>D32/10*12</f>
        <v>0.8081255999999999</v>
      </c>
      <c r="E31" s="14">
        <f>ROUND(D31*RAW!$K$9,4)</f>
        <v>0</v>
      </c>
      <c r="F31" s="14">
        <f>INPUT!$B$17</f>
        <v>0.063</v>
      </c>
      <c r="G31" s="14">
        <f>ROUND(G29/32*12,4)</f>
        <v>0</v>
      </c>
      <c r="H31" s="11">
        <f>ROUND($H$9/32*12,4)</f>
        <v>0.0998</v>
      </c>
      <c r="I31" s="14">
        <f t="shared" si="2"/>
        <v>0.1628</v>
      </c>
    </row>
    <row r="32" spans="1:9" ht="12.75">
      <c r="A32" s="284"/>
      <c r="B32" s="287"/>
      <c r="C32" s="7" t="s">
        <v>56</v>
      </c>
      <c r="D32" s="15">
        <v>0.673438</v>
      </c>
      <c r="E32" s="14">
        <f>ROUND(D32*RAW!$K$9,4)</f>
        <v>0</v>
      </c>
      <c r="F32" s="14">
        <f>INPUT!$B$18</f>
        <v>0.0587</v>
      </c>
      <c r="G32" s="14">
        <f>ROUND(G29/32*10,4)</f>
        <v>0</v>
      </c>
      <c r="H32" s="11">
        <f>ROUND($H$9/32*10,4)</f>
        <v>0.0832</v>
      </c>
      <c r="I32" s="14">
        <f t="shared" si="2"/>
        <v>0.1419</v>
      </c>
    </row>
    <row r="33" spans="1:9" ht="12.75">
      <c r="A33" s="284"/>
      <c r="B33" s="287"/>
      <c r="C33" s="7" t="s">
        <v>57</v>
      </c>
      <c r="D33" s="15">
        <v>0.53875</v>
      </c>
      <c r="E33" s="14">
        <f>ROUND(D33*RAW!$K$9,4)</f>
        <v>0</v>
      </c>
      <c r="F33" s="14">
        <f>INPUT!$B$19</f>
        <v>0</v>
      </c>
      <c r="G33" s="14">
        <f>ROUND(G29/4,4)</f>
        <v>0</v>
      </c>
      <c r="H33" s="11">
        <f>ROUND($H$9/4,4)</f>
        <v>0.0666</v>
      </c>
      <c r="I33" s="14">
        <f t="shared" si="2"/>
        <v>0.0666</v>
      </c>
    </row>
    <row r="34" spans="1:9" ht="12.75">
      <c r="A34" s="284"/>
      <c r="B34" s="287"/>
      <c r="C34" s="7" t="s">
        <v>58</v>
      </c>
      <c r="D34" s="15">
        <v>0.269375</v>
      </c>
      <c r="E34" s="14">
        <f>ROUND(D34*RAW!$K$9,4)</f>
        <v>0</v>
      </c>
      <c r="F34" s="14">
        <f>INPUT!$B$21</f>
        <v>0.0195</v>
      </c>
      <c r="G34" s="14">
        <f>ROUND(G29/32*4,4)</f>
        <v>0</v>
      </c>
      <c r="H34" s="11">
        <f>ROUND($H$9/8,4)</f>
        <v>0.0333</v>
      </c>
      <c r="I34" s="14">
        <f t="shared" si="2"/>
        <v>0.0528</v>
      </c>
    </row>
    <row r="35" spans="1:9" ht="13.5" thickBot="1">
      <c r="A35" s="285"/>
      <c r="B35" s="288"/>
      <c r="C35" s="9" t="s">
        <v>59</v>
      </c>
      <c r="D35" s="15">
        <v>2.155</v>
      </c>
      <c r="E35" s="14">
        <f>ROUND(D35*RAW!$K$9,4)</f>
        <v>0</v>
      </c>
      <c r="F35" s="14">
        <f>INPUT!$B$22</f>
        <v>0.0374</v>
      </c>
      <c r="G35" s="14">
        <f>G29</f>
        <v>0</v>
      </c>
      <c r="H35" s="11">
        <f>ROUND($H$9,4)</f>
        <v>0.2662</v>
      </c>
      <c r="I35" s="14">
        <f t="shared" si="2"/>
        <v>0.3036</v>
      </c>
    </row>
    <row r="36" spans="3:4" ht="14.25" thickBot="1" thickTop="1">
      <c r="C36" s="168"/>
      <c r="D36" s="16"/>
    </row>
    <row r="37" spans="1:9" ht="13.5" thickTop="1">
      <c r="A37" s="283" t="s">
        <v>174</v>
      </c>
      <c r="B37" s="286" t="s">
        <v>171</v>
      </c>
      <c r="C37" s="8" t="s">
        <v>12</v>
      </c>
      <c r="D37" s="15">
        <v>8.63</v>
      </c>
      <c r="E37" s="11">
        <f>ROUND(D37*RAW!$K$10,4)</f>
        <v>0.006</v>
      </c>
      <c r="F37" s="14">
        <f>INPUT!$B$13</f>
        <v>0</v>
      </c>
      <c r="G37" s="14">
        <f>G39*4</f>
        <v>0</v>
      </c>
      <c r="H37" s="11">
        <f>+H39*4</f>
        <v>1.0648</v>
      </c>
      <c r="I37" s="14">
        <f>ROUND(SUM(E37:H37),4)</f>
        <v>1.0708</v>
      </c>
    </row>
    <row r="38" spans="1:9" ht="12.75">
      <c r="A38" s="284"/>
      <c r="B38" s="287"/>
      <c r="C38" s="7" t="s">
        <v>55</v>
      </c>
      <c r="D38" s="15">
        <v>4.315</v>
      </c>
      <c r="E38" s="11">
        <f>ROUND(D38*RAW!$K$10,4)</f>
        <v>0.003</v>
      </c>
      <c r="F38" s="14">
        <f>INPUT!$B$14</f>
        <v>0</v>
      </c>
      <c r="G38" s="14">
        <f>G39*2</f>
        <v>0</v>
      </c>
      <c r="H38" s="11">
        <f>+H39*2</f>
        <v>0.5324</v>
      </c>
      <c r="I38" s="14">
        <f aca="true" t="shared" si="3" ref="I38:I45">ROUND(SUM(E38:H38),4)</f>
        <v>0.5354</v>
      </c>
    </row>
    <row r="39" spans="1:9" ht="12.75">
      <c r="A39" s="284"/>
      <c r="B39" s="287"/>
      <c r="C39" s="7" t="s">
        <v>14</v>
      </c>
      <c r="D39" s="15">
        <v>2.1575</v>
      </c>
      <c r="E39" s="11">
        <f>ROUND(D39*RAW!$K$10,4)</f>
        <v>0.0015</v>
      </c>
      <c r="F39" s="14">
        <f>INPUT!$B$15</f>
        <v>0</v>
      </c>
      <c r="G39" s="14">
        <f>INPUT!B$36</f>
        <v>0</v>
      </c>
      <c r="H39" s="11">
        <f>INPUT!$B$30</f>
        <v>0.2662</v>
      </c>
      <c r="I39" s="14">
        <f t="shared" si="3"/>
        <v>0.2677</v>
      </c>
    </row>
    <row r="40" spans="1:9" ht="12.75">
      <c r="A40" s="284"/>
      <c r="B40" s="287"/>
      <c r="C40" s="7" t="s">
        <v>15</v>
      </c>
      <c r="D40" s="15">
        <v>1.07875</v>
      </c>
      <c r="E40" s="11">
        <f>ROUND(D40*RAW!$K$10,4)</f>
        <v>0.0008</v>
      </c>
      <c r="F40" s="14">
        <f>INPUT!$B$16</f>
        <v>0</v>
      </c>
      <c r="G40" s="14">
        <f>ROUND(G39/2,4)</f>
        <v>0</v>
      </c>
      <c r="H40" s="11">
        <f>ROUND($H$9/2,4)</f>
        <v>0.1331</v>
      </c>
      <c r="I40" s="14">
        <f t="shared" si="3"/>
        <v>0.1339</v>
      </c>
    </row>
    <row r="41" spans="1:9" ht="12.75">
      <c r="A41" s="284"/>
      <c r="B41" s="287"/>
      <c r="C41" s="7" t="s">
        <v>190</v>
      </c>
      <c r="D41" s="15">
        <f>D42/10*12</f>
        <v>0.8090628000000001</v>
      </c>
      <c r="E41" s="11">
        <f>ROUND(D41*RAW!$K$10,4)</f>
        <v>0.0006</v>
      </c>
      <c r="F41" s="14">
        <f>INPUT!$B$17</f>
        <v>0.063</v>
      </c>
      <c r="G41" s="14">
        <f>ROUND(G39/32*12,4)</f>
        <v>0</v>
      </c>
      <c r="H41" s="11">
        <f>ROUND($H$9/32*12,4)</f>
        <v>0.0998</v>
      </c>
      <c r="I41" s="14">
        <f t="shared" si="3"/>
        <v>0.1634</v>
      </c>
    </row>
    <row r="42" spans="1:9" ht="12.75">
      <c r="A42" s="284"/>
      <c r="B42" s="287"/>
      <c r="C42" s="7" t="s">
        <v>56</v>
      </c>
      <c r="D42" s="15">
        <v>0.674219</v>
      </c>
      <c r="E42" s="11">
        <f>ROUND(D42*RAW!$K$10,4)</f>
        <v>0.0005</v>
      </c>
      <c r="F42" s="14">
        <f>INPUT!$B$18</f>
        <v>0.0587</v>
      </c>
      <c r="G42" s="14">
        <f>ROUND(G39/32*10,4)</f>
        <v>0</v>
      </c>
      <c r="H42" s="11">
        <f>ROUND($H$9/32*10,4)</f>
        <v>0.0832</v>
      </c>
      <c r="I42" s="14">
        <f t="shared" si="3"/>
        <v>0.1424</v>
      </c>
    </row>
    <row r="43" spans="1:9" ht="12.75">
      <c r="A43" s="284"/>
      <c r="B43" s="287"/>
      <c r="C43" s="7" t="s">
        <v>57</v>
      </c>
      <c r="D43" s="15">
        <v>0.539375</v>
      </c>
      <c r="E43" s="11">
        <f>ROUND(D43*RAW!$K$10,4)</f>
        <v>0.0004</v>
      </c>
      <c r="F43" s="14">
        <f>INPUT!$B$19</f>
        <v>0</v>
      </c>
      <c r="G43" s="14">
        <f>ROUND(G39/4,4)</f>
        <v>0</v>
      </c>
      <c r="H43" s="11">
        <f>ROUND($H$9/4,4)</f>
        <v>0.0666</v>
      </c>
      <c r="I43" s="14">
        <f t="shared" si="3"/>
        <v>0.067</v>
      </c>
    </row>
    <row r="44" spans="1:9" ht="12.75">
      <c r="A44" s="284"/>
      <c r="B44" s="287"/>
      <c r="C44" s="7" t="s">
        <v>58</v>
      </c>
      <c r="D44" s="15">
        <v>0.269688</v>
      </c>
      <c r="E44" s="11">
        <f>ROUND(D44*RAW!$K$10,4)</f>
        <v>0.0002</v>
      </c>
      <c r="F44" s="14">
        <f>INPUT!$B$21</f>
        <v>0.0195</v>
      </c>
      <c r="G44" s="14">
        <f>ROUND(G39/32*4,4)</f>
        <v>0</v>
      </c>
      <c r="H44" s="11">
        <f>ROUND($H$9/8,4)</f>
        <v>0.0333</v>
      </c>
      <c r="I44" s="14">
        <f t="shared" si="3"/>
        <v>0.053</v>
      </c>
    </row>
    <row r="45" spans="1:9" ht="13.5" thickBot="1">
      <c r="A45" s="285"/>
      <c r="B45" s="288"/>
      <c r="C45" s="9" t="s">
        <v>59</v>
      </c>
      <c r="D45" s="15">
        <v>2.1575</v>
      </c>
      <c r="E45" s="11">
        <f>ROUND(D45*RAW!$K$10,4)</f>
        <v>0.0015</v>
      </c>
      <c r="F45" s="14">
        <f>INPUT!$B$22</f>
        <v>0.0374</v>
      </c>
      <c r="G45" s="14">
        <f>G39</f>
        <v>0</v>
      </c>
      <c r="H45" s="11">
        <f>ROUND($H$9,4)</f>
        <v>0.2662</v>
      </c>
      <c r="I45" s="14">
        <f t="shared" si="3"/>
        <v>0.3051</v>
      </c>
    </row>
    <row r="46" spans="3:4" ht="14.25" thickBot="1" thickTop="1">
      <c r="C46" s="168"/>
      <c r="D46" s="16"/>
    </row>
    <row r="47" spans="1:9" ht="13.5" thickTop="1">
      <c r="A47" s="283" t="s">
        <v>170</v>
      </c>
      <c r="B47" s="286" t="s">
        <v>24</v>
      </c>
      <c r="C47" s="8" t="s">
        <v>12</v>
      </c>
      <c r="D47" s="15">
        <v>8</v>
      </c>
      <c r="E47" s="14">
        <f>ROUND(D47*RAW!$K$11,4)</f>
        <v>-0.0016</v>
      </c>
      <c r="F47" s="14">
        <f>INPUT!$B$13</f>
        <v>0</v>
      </c>
      <c r="G47" s="14">
        <f>G49*4</f>
        <v>0</v>
      </c>
      <c r="H47" s="11">
        <f>+H49*4</f>
        <v>1.0648</v>
      </c>
      <c r="I47" s="14">
        <f>ROUND(SUM(E47:H47),4)</f>
        <v>1.0632</v>
      </c>
    </row>
    <row r="48" spans="1:9" ht="12.75">
      <c r="A48" s="284"/>
      <c r="B48" s="287"/>
      <c r="C48" s="7" t="s">
        <v>55</v>
      </c>
      <c r="D48" s="15">
        <v>4</v>
      </c>
      <c r="E48" s="14">
        <f>ROUND(D48*RAW!$K$11,4)</f>
        <v>-0.0008</v>
      </c>
      <c r="F48" s="14">
        <f>INPUT!$B$14</f>
        <v>0</v>
      </c>
      <c r="G48" s="14">
        <f>G49*2</f>
        <v>0</v>
      </c>
      <c r="H48" s="11">
        <f>+H49*2</f>
        <v>0.5324</v>
      </c>
      <c r="I48" s="14">
        <f aca="true" t="shared" si="4" ref="I48:I55">ROUND(SUM(E48:H48),4)</f>
        <v>0.5316</v>
      </c>
    </row>
    <row r="49" spans="1:9" ht="12.75">
      <c r="A49" s="284"/>
      <c r="B49" s="287"/>
      <c r="C49" s="7" t="s">
        <v>14</v>
      </c>
      <c r="D49" s="15">
        <v>2</v>
      </c>
      <c r="E49" s="14">
        <f>ROUND(D49*RAW!$K$11,4)</f>
        <v>-0.0004</v>
      </c>
      <c r="F49" s="14">
        <f>INPUT!$B$15</f>
        <v>0</v>
      </c>
      <c r="G49" s="14">
        <f>INPUT!B$36</f>
        <v>0</v>
      </c>
      <c r="H49" s="11">
        <f>INPUT!$B$30</f>
        <v>0.2662</v>
      </c>
      <c r="I49" s="14">
        <f t="shared" si="4"/>
        <v>0.2658</v>
      </c>
    </row>
    <row r="50" spans="1:9" ht="12.75">
      <c r="A50" s="284"/>
      <c r="B50" s="287"/>
      <c r="C50" s="7" t="s">
        <v>15</v>
      </c>
      <c r="D50" s="15">
        <v>1</v>
      </c>
      <c r="E50" s="14">
        <f>ROUND(D50*RAW!$K$11,4)</f>
        <v>-0.0002</v>
      </c>
      <c r="F50" s="14">
        <f>INPUT!$B$16</f>
        <v>0</v>
      </c>
      <c r="G50" s="14">
        <f>ROUND(G49/2,4)</f>
        <v>0</v>
      </c>
      <c r="H50" s="11">
        <f>ROUND($H$9/2,4)</f>
        <v>0.1331</v>
      </c>
      <c r="I50" s="14">
        <f t="shared" si="4"/>
        <v>0.1329</v>
      </c>
    </row>
    <row r="51" spans="1:9" ht="12.75">
      <c r="A51" s="284"/>
      <c r="B51" s="287"/>
      <c r="C51" s="7" t="s">
        <v>190</v>
      </c>
      <c r="D51" s="15">
        <f>D52/10*12</f>
        <v>0.75</v>
      </c>
      <c r="E51" s="14">
        <f>ROUND(D51*RAW!$K$11,4)</f>
        <v>-0.0002</v>
      </c>
      <c r="F51" s="14">
        <f>INPUT!$B$17</f>
        <v>0.063</v>
      </c>
      <c r="G51" s="14">
        <f>ROUND(G49/32*12,4)</f>
        <v>0</v>
      </c>
      <c r="H51" s="11">
        <f>ROUND($H$9/32*12,4)</f>
        <v>0.0998</v>
      </c>
      <c r="I51" s="14">
        <f t="shared" si="4"/>
        <v>0.1626</v>
      </c>
    </row>
    <row r="52" spans="1:9" ht="12.75">
      <c r="A52" s="284"/>
      <c r="B52" s="287"/>
      <c r="C52" s="7" t="s">
        <v>56</v>
      </c>
      <c r="D52" s="15">
        <v>0.625</v>
      </c>
      <c r="E52" s="14">
        <f>ROUND(D52*RAW!$K$11,4)</f>
        <v>-0.0001</v>
      </c>
      <c r="F52" s="14">
        <f>INPUT!$B$18</f>
        <v>0.0587</v>
      </c>
      <c r="G52" s="14">
        <f>ROUND(G49/32*10,4)</f>
        <v>0</v>
      </c>
      <c r="H52" s="11">
        <f>ROUND($H$9/32*10,4)</f>
        <v>0.0832</v>
      </c>
      <c r="I52" s="14">
        <f t="shared" si="4"/>
        <v>0.1418</v>
      </c>
    </row>
    <row r="53" spans="1:9" ht="12.75">
      <c r="A53" s="284"/>
      <c r="B53" s="287"/>
      <c r="C53" s="7" t="s">
        <v>57</v>
      </c>
      <c r="D53" s="15">
        <v>0.5</v>
      </c>
      <c r="E53" s="14">
        <f>ROUND(D53*RAW!$K$11,4)</f>
        <v>-0.0001</v>
      </c>
      <c r="F53" s="14">
        <f>INPUT!$B$19</f>
        <v>0</v>
      </c>
      <c r="G53" s="14">
        <f>ROUND(G49/4,4)</f>
        <v>0</v>
      </c>
      <c r="H53" s="11">
        <f>ROUND($H$9/4,4)</f>
        <v>0.0666</v>
      </c>
      <c r="I53" s="14">
        <f t="shared" si="4"/>
        <v>0.0665</v>
      </c>
    </row>
    <row r="54" spans="1:9" ht="12.75">
      <c r="A54" s="284"/>
      <c r="B54" s="287"/>
      <c r="C54" s="7" t="s">
        <v>58</v>
      </c>
      <c r="D54" s="15">
        <v>0.25</v>
      </c>
      <c r="E54" s="14">
        <f>ROUND(D54*RAW!$K$11,4)</f>
        <v>-0.0001</v>
      </c>
      <c r="F54" s="14">
        <f>INPUT!$B$21</f>
        <v>0.0195</v>
      </c>
      <c r="G54" s="14">
        <f>ROUND(G49/32*4,4)</f>
        <v>0</v>
      </c>
      <c r="H54" s="11">
        <f>ROUND($H$9/8,4)</f>
        <v>0.0333</v>
      </c>
      <c r="I54" s="14">
        <f t="shared" si="4"/>
        <v>0.0527</v>
      </c>
    </row>
    <row r="55" spans="1:9" ht="13.5" thickBot="1">
      <c r="A55" s="285"/>
      <c r="B55" s="288"/>
      <c r="C55" s="9" t="s">
        <v>59</v>
      </c>
      <c r="D55" s="15">
        <v>2</v>
      </c>
      <c r="E55" s="14">
        <f>ROUND(D55*RAW!$K$11,4)</f>
        <v>-0.0004</v>
      </c>
      <c r="F55" s="14">
        <f>INPUT!$B$22</f>
        <v>0.0374</v>
      </c>
      <c r="G55" s="14">
        <f>G49</f>
        <v>0</v>
      </c>
      <c r="H55" s="11">
        <f>ROUND($H$9,4)</f>
        <v>0.2662</v>
      </c>
      <c r="I55" s="14">
        <f t="shared" si="4"/>
        <v>0.3032</v>
      </c>
    </row>
    <row r="56" spans="3:4" ht="14.25" thickBot="1" thickTop="1">
      <c r="C56" s="168"/>
      <c r="D56" s="16"/>
    </row>
    <row r="57" spans="1:9" ht="13.5" thickTop="1">
      <c r="A57" s="283" t="s">
        <v>175</v>
      </c>
      <c r="B57" s="286" t="s">
        <v>24</v>
      </c>
      <c r="C57" s="8" t="s">
        <v>12</v>
      </c>
      <c r="D57" s="15">
        <v>8</v>
      </c>
      <c r="E57" s="14">
        <f>ROUND(D57*RAW!$K$12,4)</f>
        <v>-0.0016</v>
      </c>
      <c r="F57" s="14">
        <f>INPUT!$B$13</f>
        <v>0</v>
      </c>
      <c r="G57" s="14">
        <f>G59*4</f>
        <v>0</v>
      </c>
      <c r="H57" s="11">
        <f>+H59*4</f>
        <v>1.0648</v>
      </c>
      <c r="I57" s="14">
        <f>ROUND(SUM(E57:H57),4)</f>
        <v>1.0632</v>
      </c>
    </row>
    <row r="58" spans="1:9" ht="12.75">
      <c r="A58" s="284"/>
      <c r="B58" s="287"/>
      <c r="C58" s="7" t="s">
        <v>55</v>
      </c>
      <c r="D58" s="15">
        <v>4</v>
      </c>
      <c r="E58" s="14">
        <f>ROUND(D58*RAW!$K$12,4)</f>
        <v>-0.0008</v>
      </c>
      <c r="F58" s="14">
        <f>INPUT!$B$14</f>
        <v>0</v>
      </c>
      <c r="G58" s="14">
        <f>G59*2</f>
        <v>0</v>
      </c>
      <c r="H58" s="11">
        <f>+H59*2</f>
        <v>0.5324</v>
      </c>
      <c r="I58" s="14">
        <f aca="true" t="shared" si="5" ref="I58:I65">ROUND(SUM(E58:H58),4)</f>
        <v>0.5316</v>
      </c>
    </row>
    <row r="59" spans="1:9" ht="12.75">
      <c r="A59" s="284"/>
      <c r="B59" s="287"/>
      <c r="C59" s="7" t="s">
        <v>14</v>
      </c>
      <c r="D59" s="15">
        <v>2</v>
      </c>
      <c r="E59" s="14">
        <f>ROUND(D59*RAW!$K$12,4)</f>
        <v>-0.0004</v>
      </c>
      <c r="F59" s="14">
        <f>INPUT!$B$15</f>
        <v>0</v>
      </c>
      <c r="G59" s="14">
        <f>INPUT!B$36</f>
        <v>0</v>
      </c>
      <c r="H59" s="11">
        <f>INPUT!$B$30</f>
        <v>0.2662</v>
      </c>
      <c r="I59" s="14">
        <f t="shared" si="5"/>
        <v>0.2658</v>
      </c>
    </row>
    <row r="60" spans="1:9" ht="12.75">
      <c r="A60" s="284"/>
      <c r="B60" s="287"/>
      <c r="C60" s="7" t="s">
        <v>15</v>
      </c>
      <c r="D60" s="15">
        <v>1</v>
      </c>
      <c r="E60" s="14">
        <f>ROUND(D60*RAW!$K$12,4)</f>
        <v>-0.0002</v>
      </c>
      <c r="F60" s="14">
        <f>INPUT!$B$16</f>
        <v>0</v>
      </c>
      <c r="G60" s="14">
        <f>ROUND(G59/2,4)</f>
        <v>0</v>
      </c>
      <c r="H60" s="11">
        <f>ROUND($H$9/2,4)</f>
        <v>0.1331</v>
      </c>
      <c r="I60" s="14">
        <f t="shared" si="5"/>
        <v>0.1329</v>
      </c>
    </row>
    <row r="61" spans="1:9" ht="12.75">
      <c r="A61" s="284"/>
      <c r="B61" s="287"/>
      <c r="C61" s="7" t="s">
        <v>190</v>
      </c>
      <c r="D61" s="15">
        <f>D62/10*12</f>
        <v>0.75</v>
      </c>
      <c r="E61" s="14">
        <f>ROUND(D61*RAW!$K$12,4)</f>
        <v>-0.0002</v>
      </c>
      <c r="F61" s="14">
        <f>INPUT!$B$17</f>
        <v>0.063</v>
      </c>
      <c r="G61" s="14">
        <f>ROUND(G59/32*12,4)</f>
        <v>0</v>
      </c>
      <c r="H61" s="11">
        <f>ROUND($H$9/32*12,4)</f>
        <v>0.0998</v>
      </c>
      <c r="I61" s="14">
        <f t="shared" si="5"/>
        <v>0.1626</v>
      </c>
    </row>
    <row r="62" spans="1:9" ht="12.75">
      <c r="A62" s="284"/>
      <c r="B62" s="287"/>
      <c r="C62" s="7" t="s">
        <v>56</v>
      </c>
      <c r="D62" s="15">
        <v>0.625</v>
      </c>
      <c r="E62" s="14">
        <f>ROUND(D62*RAW!$K$12,4)</f>
        <v>-0.0001</v>
      </c>
      <c r="F62" s="14">
        <f>INPUT!$B$18</f>
        <v>0.0587</v>
      </c>
      <c r="G62" s="14">
        <f>ROUND(G59/32*10,4)</f>
        <v>0</v>
      </c>
      <c r="H62" s="11">
        <f>ROUND($H$9/32*10,4)</f>
        <v>0.0832</v>
      </c>
      <c r="I62" s="14">
        <f t="shared" si="5"/>
        <v>0.1418</v>
      </c>
    </row>
    <row r="63" spans="1:9" ht="12.75">
      <c r="A63" s="284"/>
      <c r="B63" s="287"/>
      <c r="C63" s="7" t="s">
        <v>57</v>
      </c>
      <c r="D63" s="15">
        <v>0.5</v>
      </c>
      <c r="E63" s="14">
        <f>ROUND(D63*RAW!$K$12,4)</f>
        <v>-0.0001</v>
      </c>
      <c r="F63" s="14">
        <f>INPUT!$B$19</f>
        <v>0</v>
      </c>
      <c r="G63" s="14">
        <f>ROUND(G59/4,4)</f>
        <v>0</v>
      </c>
      <c r="H63" s="11">
        <f>ROUND($H$9/4,4)</f>
        <v>0.0666</v>
      </c>
      <c r="I63" s="14">
        <f t="shared" si="5"/>
        <v>0.0665</v>
      </c>
    </row>
    <row r="64" spans="1:9" ht="12.75">
      <c r="A64" s="284"/>
      <c r="B64" s="287"/>
      <c r="C64" s="7" t="s">
        <v>58</v>
      </c>
      <c r="D64" s="15">
        <v>0.25</v>
      </c>
      <c r="E64" s="14">
        <f>ROUND(D64*RAW!$K$12,4)</f>
        <v>-0.0001</v>
      </c>
      <c r="F64" s="14">
        <f>INPUT!$B$21</f>
        <v>0.0195</v>
      </c>
      <c r="G64" s="14">
        <f>ROUND(G59/32*4,4)</f>
        <v>0</v>
      </c>
      <c r="H64" s="11">
        <f>ROUND($H$9/8,4)</f>
        <v>0.0333</v>
      </c>
      <c r="I64" s="14">
        <f t="shared" si="5"/>
        <v>0.0527</v>
      </c>
    </row>
    <row r="65" spans="1:9" ht="13.5" thickBot="1">
      <c r="A65" s="285"/>
      <c r="B65" s="288"/>
      <c r="C65" s="9" t="s">
        <v>59</v>
      </c>
      <c r="D65" s="15">
        <v>2</v>
      </c>
      <c r="E65" s="14">
        <f>ROUND(D65*RAW!$K$12,4)</f>
        <v>-0.0004</v>
      </c>
      <c r="F65" s="14">
        <f>INPUT!$B$22</f>
        <v>0.0374</v>
      </c>
      <c r="G65" s="14">
        <f>G59</f>
        <v>0</v>
      </c>
      <c r="H65" s="11">
        <f>ROUND($H$9,4)</f>
        <v>0.2662</v>
      </c>
      <c r="I65" s="14">
        <f t="shared" si="5"/>
        <v>0.3032</v>
      </c>
    </row>
    <row r="66" spans="3:4" ht="14.25" thickBot="1" thickTop="1">
      <c r="C66" s="168"/>
      <c r="D66" s="16"/>
    </row>
    <row r="67" spans="1:9" ht="13.5" thickTop="1">
      <c r="A67" s="299" t="s">
        <v>200</v>
      </c>
      <c r="B67" s="286" t="s">
        <v>24</v>
      </c>
      <c r="C67" s="8" t="s">
        <v>12</v>
      </c>
      <c r="D67" s="15">
        <v>8</v>
      </c>
      <c r="E67" s="14">
        <f>ROUND(D67*RAW!$K$13,4)</f>
        <v>-0.0016</v>
      </c>
      <c r="F67" s="14">
        <f>INPUT!$B$13</f>
        <v>0</v>
      </c>
      <c r="G67" s="14">
        <f>G69*4</f>
        <v>0</v>
      </c>
      <c r="H67" s="11">
        <f>+H69*4</f>
        <v>1.0648</v>
      </c>
      <c r="I67" s="14">
        <f>ROUND(SUM(E67:H67),4)</f>
        <v>1.0632</v>
      </c>
    </row>
    <row r="68" spans="1:9" ht="12.75">
      <c r="A68" s="284"/>
      <c r="B68" s="287"/>
      <c r="C68" s="7" t="s">
        <v>55</v>
      </c>
      <c r="D68" s="15">
        <v>4</v>
      </c>
      <c r="E68" s="14">
        <f>ROUND(D68*RAW!$K$13,4)</f>
        <v>-0.0008</v>
      </c>
      <c r="F68" s="14">
        <f>INPUT!$B$14</f>
        <v>0</v>
      </c>
      <c r="G68" s="14">
        <f>G69*2</f>
        <v>0</v>
      </c>
      <c r="H68" s="11">
        <f>+H69*2</f>
        <v>0.5324</v>
      </c>
      <c r="I68" s="14">
        <f aca="true" t="shared" si="6" ref="I68:I75">ROUND(SUM(E68:H68),4)</f>
        <v>0.5316</v>
      </c>
    </row>
    <row r="69" spans="1:9" ht="12.75">
      <c r="A69" s="284"/>
      <c r="B69" s="287"/>
      <c r="C69" s="7" t="s">
        <v>14</v>
      </c>
      <c r="D69" s="15">
        <v>2</v>
      </c>
      <c r="E69" s="14">
        <f>ROUND(D69*RAW!$K$13,4)</f>
        <v>-0.0004</v>
      </c>
      <c r="F69" s="14">
        <f>INPUT!$B$15</f>
        <v>0</v>
      </c>
      <c r="G69" s="14">
        <f>INPUT!B$36</f>
        <v>0</v>
      </c>
      <c r="H69" s="11">
        <f>INPUT!$B$30</f>
        <v>0.2662</v>
      </c>
      <c r="I69" s="14">
        <f t="shared" si="6"/>
        <v>0.2658</v>
      </c>
    </row>
    <row r="70" spans="1:9" ht="12.75">
      <c r="A70" s="284"/>
      <c r="B70" s="287"/>
      <c r="C70" s="7" t="s">
        <v>15</v>
      </c>
      <c r="D70" s="15">
        <v>1</v>
      </c>
      <c r="E70" s="14">
        <f>ROUND(D70*RAW!$K$13,4)</f>
        <v>-0.0002</v>
      </c>
      <c r="F70" s="14">
        <f>INPUT!$B$16</f>
        <v>0</v>
      </c>
      <c r="G70" s="14">
        <f>ROUND(G69/2,4)</f>
        <v>0</v>
      </c>
      <c r="H70" s="11">
        <f>ROUND($H$9/2,4)</f>
        <v>0.1331</v>
      </c>
      <c r="I70" s="14">
        <f t="shared" si="6"/>
        <v>0.1329</v>
      </c>
    </row>
    <row r="71" spans="1:9" ht="12.75">
      <c r="A71" s="284"/>
      <c r="B71" s="287"/>
      <c r="C71" s="7" t="s">
        <v>190</v>
      </c>
      <c r="D71" s="15">
        <f>D72/10*12</f>
        <v>0.75</v>
      </c>
      <c r="E71" s="14">
        <f>ROUND(D71*RAW!$K$13,4)</f>
        <v>-0.0002</v>
      </c>
      <c r="F71" s="14">
        <f>INPUT!$B$17</f>
        <v>0.063</v>
      </c>
      <c r="G71" s="14">
        <f>ROUND(G69/32*12,4)</f>
        <v>0</v>
      </c>
      <c r="H71" s="11">
        <f>ROUND($H$9/32*12,4)</f>
        <v>0.0998</v>
      </c>
      <c r="I71" s="14">
        <f t="shared" si="6"/>
        <v>0.1626</v>
      </c>
    </row>
    <row r="72" spans="1:9" ht="12.75">
      <c r="A72" s="284"/>
      <c r="B72" s="287"/>
      <c r="C72" s="7" t="s">
        <v>56</v>
      </c>
      <c r="D72" s="15">
        <v>0.625</v>
      </c>
      <c r="E72" s="14">
        <f>ROUND(D72*RAW!$K$13,4)</f>
        <v>-0.0001</v>
      </c>
      <c r="F72" s="14">
        <f>INPUT!$B$18</f>
        <v>0.0587</v>
      </c>
      <c r="G72" s="14">
        <f>ROUND(G69/32*10,4)</f>
        <v>0</v>
      </c>
      <c r="H72" s="11">
        <f>ROUND($H$9/32*10,4)</f>
        <v>0.0832</v>
      </c>
      <c r="I72" s="14">
        <f t="shared" si="6"/>
        <v>0.1418</v>
      </c>
    </row>
    <row r="73" spans="1:9" ht="12.75">
      <c r="A73" s="284"/>
      <c r="B73" s="287"/>
      <c r="C73" s="7" t="s">
        <v>57</v>
      </c>
      <c r="D73" s="15">
        <v>0.5</v>
      </c>
      <c r="E73" s="14">
        <f>ROUND(D73*RAW!$K$13,4)</f>
        <v>-0.0001</v>
      </c>
      <c r="F73" s="14">
        <f>INPUT!$B$19</f>
        <v>0</v>
      </c>
      <c r="G73" s="14">
        <f>ROUND(G69/4,4)</f>
        <v>0</v>
      </c>
      <c r="H73" s="11">
        <f>ROUND($H$9/4,4)</f>
        <v>0.0666</v>
      </c>
      <c r="I73" s="14">
        <f t="shared" si="6"/>
        <v>0.0665</v>
      </c>
    </row>
    <row r="74" spans="1:9" ht="12.75">
      <c r="A74" s="284"/>
      <c r="B74" s="287"/>
      <c r="C74" s="7" t="s">
        <v>58</v>
      </c>
      <c r="D74" s="15">
        <v>0.25</v>
      </c>
      <c r="E74" s="14">
        <f>ROUND(D74*RAW!$K$13,4)</f>
        <v>-0.0001</v>
      </c>
      <c r="F74" s="14">
        <f>INPUT!$B$21</f>
        <v>0.0195</v>
      </c>
      <c r="G74" s="14">
        <f>ROUND(G69/32*4,4)</f>
        <v>0</v>
      </c>
      <c r="H74" s="11">
        <f>ROUND($H$9/8,4)</f>
        <v>0.0333</v>
      </c>
      <c r="I74" s="14">
        <f t="shared" si="6"/>
        <v>0.0527</v>
      </c>
    </row>
    <row r="75" spans="1:9" ht="13.5" thickBot="1">
      <c r="A75" s="285"/>
      <c r="B75" s="288"/>
      <c r="C75" s="9" t="s">
        <v>59</v>
      </c>
      <c r="D75" s="15">
        <v>2</v>
      </c>
      <c r="E75" s="14">
        <f>ROUND(D75*RAW!$K$13,4)</f>
        <v>-0.0004</v>
      </c>
      <c r="F75" s="14">
        <f>INPUT!$B$22</f>
        <v>0.0374</v>
      </c>
      <c r="G75" s="14">
        <f>G69</f>
        <v>0</v>
      </c>
      <c r="H75" s="11">
        <f>ROUND($H$9,4)</f>
        <v>0.2662</v>
      </c>
      <c r="I75" s="14">
        <f t="shared" si="6"/>
        <v>0.3032</v>
      </c>
    </row>
    <row r="76" spans="3:4" ht="14.25" thickBot="1" thickTop="1">
      <c r="C76" s="168"/>
      <c r="D76" s="16"/>
    </row>
    <row r="77" spans="1:9" ht="13.5" thickTop="1">
      <c r="A77" s="283" t="s">
        <v>26</v>
      </c>
      <c r="B77" s="292"/>
      <c r="C77" s="8" t="s">
        <v>12</v>
      </c>
      <c r="D77" s="15">
        <v>8.6</v>
      </c>
      <c r="E77" s="14">
        <f>ROUND(D77*RAW!$K$14,4)</f>
        <v>0.0585</v>
      </c>
      <c r="F77" s="14">
        <f>INPUT!$B$13</f>
        <v>0</v>
      </c>
      <c r="G77" s="14">
        <f>G79*4</f>
        <v>0</v>
      </c>
      <c r="H77" s="11">
        <f>+H79*4</f>
        <v>1.0648</v>
      </c>
      <c r="I77" s="14">
        <f>ROUND(SUM(E77:H77),4)</f>
        <v>1.1233</v>
      </c>
    </row>
    <row r="78" spans="1:9" ht="12.75">
      <c r="A78" s="284"/>
      <c r="B78" s="293"/>
      <c r="C78" s="7" t="s">
        <v>55</v>
      </c>
      <c r="D78" s="15">
        <f>D77/2</f>
        <v>4.3</v>
      </c>
      <c r="E78" s="14">
        <f>ROUND(D78*RAW!$K$14,4)</f>
        <v>0.0292</v>
      </c>
      <c r="F78" s="14">
        <f>INPUT!$B$14</f>
        <v>0</v>
      </c>
      <c r="G78" s="14">
        <f>G79*2</f>
        <v>0</v>
      </c>
      <c r="H78" s="11">
        <f>+H79*2</f>
        <v>0.5324</v>
      </c>
      <c r="I78" s="14">
        <f aca="true" t="shared" si="7" ref="I78:I85">ROUND(SUM(E78:H78),4)</f>
        <v>0.5616</v>
      </c>
    </row>
    <row r="79" spans="1:9" ht="12.75">
      <c r="A79" s="284"/>
      <c r="B79" s="293"/>
      <c r="C79" s="7" t="s">
        <v>14</v>
      </c>
      <c r="D79" s="15">
        <f>D78/2</f>
        <v>2.15</v>
      </c>
      <c r="E79" s="14">
        <f>ROUND(D79*RAW!$K$14,4)</f>
        <v>0.0146</v>
      </c>
      <c r="F79" s="14">
        <f>INPUT!$B$15</f>
        <v>0</v>
      </c>
      <c r="G79" s="14">
        <f>INPUT!B$36</f>
        <v>0</v>
      </c>
      <c r="H79" s="11">
        <f>INPUT!$B$30</f>
        <v>0.2662</v>
      </c>
      <c r="I79" s="14">
        <f t="shared" si="7"/>
        <v>0.2808</v>
      </c>
    </row>
    <row r="80" spans="1:9" ht="12.75">
      <c r="A80" s="284"/>
      <c r="B80" s="293"/>
      <c r="C80" s="7" t="s">
        <v>15</v>
      </c>
      <c r="D80" s="15">
        <f>D79/2</f>
        <v>1.075</v>
      </c>
      <c r="E80" s="14">
        <f>ROUND(D80*RAW!$K$14,4)</f>
        <v>0.0073</v>
      </c>
      <c r="F80" s="14">
        <f>INPUT!$B$16</f>
        <v>0</v>
      </c>
      <c r="G80" s="14">
        <f>ROUND(G79/2,4)</f>
        <v>0</v>
      </c>
      <c r="H80" s="11">
        <f>ROUND($H$9/2,4)</f>
        <v>0.1331</v>
      </c>
      <c r="I80" s="14">
        <f t="shared" si="7"/>
        <v>0.1404</v>
      </c>
    </row>
    <row r="81" spans="1:9" ht="12.75">
      <c r="A81" s="284"/>
      <c r="B81" s="293"/>
      <c r="C81" s="7" t="s">
        <v>190</v>
      </c>
      <c r="D81" s="15">
        <f>D82/10*12</f>
        <v>0.8062499999999999</v>
      </c>
      <c r="E81" s="14">
        <f>ROUND(D81*RAW!$K$14,4)</f>
        <v>0.0055</v>
      </c>
      <c r="F81" s="14">
        <f>INPUT!$B$17</f>
        <v>0.063</v>
      </c>
      <c r="G81" s="14">
        <f>ROUND(G79/32*12,4)</f>
        <v>0</v>
      </c>
      <c r="H81" s="11">
        <f>ROUND($H$9/32*12,4)</f>
        <v>0.0998</v>
      </c>
      <c r="I81" s="14">
        <f t="shared" si="7"/>
        <v>0.1683</v>
      </c>
    </row>
    <row r="82" spans="1:9" ht="12.75">
      <c r="A82" s="284"/>
      <c r="B82" s="293"/>
      <c r="C82" s="7" t="s">
        <v>56</v>
      </c>
      <c r="D82" s="15">
        <v>0.671875</v>
      </c>
      <c r="E82" s="14">
        <f>ROUND(D82*RAW!$K$14,4)</f>
        <v>0.0046</v>
      </c>
      <c r="F82" s="14">
        <f>INPUT!$B$18</f>
        <v>0.0587</v>
      </c>
      <c r="G82" s="14">
        <f>ROUND(G79/32*10,4)</f>
        <v>0</v>
      </c>
      <c r="H82" s="11">
        <f>ROUND($H$9/32*10,4)</f>
        <v>0.0832</v>
      </c>
      <c r="I82" s="14">
        <f t="shared" si="7"/>
        <v>0.1465</v>
      </c>
    </row>
    <row r="83" spans="1:9" ht="12.75">
      <c r="A83" s="284"/>
      <c r="B83" s="293"/>
      <c r="C83" s="7" t="s">
        <v>57</v>
      </c>
      <c r="D83" s="15">
        <f>D80/2</f>
        <v>0.5375</v>
      </c>
      <c r="E83" s="14">
        <f>ROUND(D83*RAW!$K$14,4)</f>
        <v>0.0037</v>
      </c>
      <c r="F83" s="14">
        <f>INPUT!$B$19</f>
        <v>0</v>
      </c>
      <c r="G83" s="14">
        <f>ROUND(G79/4,4)</f>
        <v>0</v>
      </c>
      <c r="H83" s="11">
        <f>ROUND($H$9/4,4)</f>
        <v>0.0666</v>
      </c>
      <c r="I83" s="14">
        <f t="shared" si="7"/>
        <v>0.0703</v>
      </c>
    </row>
    <row r="84" spans="1:9" ht="12.75">
      <c r="A84" s="284"/>
      <c r="B84" s="293"/>
      <c r="C84" s="7" t="s">
        <v>58</v>
      </c>
      <c r="D84" s="15">
        <f>D83/2</f>
        <v>0.26875</v>
      </c>
      <c r="E84" s="14">
        <f>ROUND(D84*RAW!$K$14,4)</f>
        <v>0.0018</v>
      </c>
      <c r="F84" s="14">
        <f>INPUT!$B$21</f>
        <v>0.0195</v>
      </c>
      <c r="G84" s="14">
        <f>ROUND(G79/32*4,4)</f>
        <v>0</v>
      </c>
      <c r="H84" s="11">
        <f>ROUND($H$9/8,4)</f>
        <v>0.0333</v>
      </c>
      <c r="I84" s="14">
        <f t="shared" si="7"/>
        <v>0.0546</v>
      </c>
    </row>
    <row r="85" spans="1:9" ht="13.5" thickBot="1">
      <c r="A85" s="285"/>
      <c r="B85" s="294"/>
      <c r="C85" s="9" t="s">
        <v>59</v>
      </c>
      <c r="D85" s="15">
        <f>D79</f>
        <v>2.15</v>
      </c>
      <c r="E85" s="14">
        <f>ROUND(D85*RAW!$K$14,4)</f>
        <v>0.0146</v>
      </c>
      <c r="F85" s="14">
        <f>INPUT!$B$22</f>
        <v>0.0374</v>
      </c>
      <c r="G85" s="14">
        <f>G79</f>
        <v>0</v>
      </c>
      <c r="H85" s="11">
        <f>ROUND($H$9,4)</f>
        <v>0.2662</v>
      </c>
      <c r="I85" s="14">
        <f t="shared" si="7"/>
        <v>0.3182</v>
      </c>
    </row>
    <row r="86" spans="1:9" ht="14.25" thickBot="1" thickTop="1">
      <c r="A86" s="166"/>
      <c r="B86" s="167"/>
      <c r="C86" s="168"/>
      <c r="D86" s="149"/>
      <c r="E86" s="150"/>
      <c r="F86" s="150"/>
      <c r="G86" s="150"/>
      <c r="H86" s="151"/>
      <c r="I86" s="150"/>
    </row>
    <row r="87" spans="1:9" ht="13.5" thickTop="1">
      <c r="A87" s="283" t="s">
        <v>158</v>
      </c>
      <c r="B87" s="292"/>
      <c r="C87" s="8" t="s">
        <v>12</v>
      </c>
      <c r="D87" s="15">
        <f>D89*4</f>
        <v>8</v>
      </c>
      <c r="E87" s="14">
        <f>ROUND(D87*RAW!$K$15,4)</f>
        <v>1.1472</v>
      </c>
      <c r="F87" s="14">
        <f>INPUT!$B$13</f>
        <v>0</v>
      </c>
      <c r="G87" s="14">
        <f>G89*4</f>
        <v>0</v>
      </c>
      <c r="H87" s="11">
        <f>+H89*4</f>
        <v>1.0648</v>
      </c>
      <c r="I87" s="14">
        <f>ROUND(SUM(E87:H87),4)</f>
        <v>2.212</v>
      </c>
    </row>
    <row r="88" spans="1:9" ht="12.75">
      <c r="A88" s="284"/>
      <c r="B88" s="293"/>
      <c r="C88" s="7" t="s">
        <v>55</v>
      </c>
      <c r="D88" s="15">
        <f>D89*2</f>
        <v>4</v>
      </c>
      <c r="E88" s="14">
        <f>ROUND(D88*RAW!$K$15,4)</f>
        <v>0.5736</v>
      </c>
      <c r="F88" s="14">
        <f>INPUT!$B$14</f>
        <v>0</v>
      </c>
      <c r="G88" s="14">
        <f>G89*2</f>
        <v>0</v>
      </c>
      <c r="H88" s="11">
        <f>+H89*2</f>
        <v>0.5324</v>
      </c>
      <c r="I88" s="14">
        <f aca="true" t="shared" si="8" ref="I88:I95">ROUND(SUM(E88:H88),4)</f>
        <v>1.106</v>
      </c>
    </row>
    <row r="89" spans="1:9" ht="12.75">
      <c r="A89" s="284"/>
      <c r="B89" s="293"/>
      <c r="C89" s="7" t="s">
        <v>14</v>
      </c>
      <c r="D89" s="15">
        <v>2</v>
      </c>
      <c r="E89" s="14">
        <f>ROUND(D89*RAW!$K$15,4)</f>
        <v>0.2868</v>
      </c>
      <c r="F89" s="14">
        <f>INPUT!$B$15</f>
        <v>0</v>
      </c>
      <c r="G89" s="14">
        <f>INPUT!B$36</f>
        <v>0</v>
      </c>
      <c r="H89" s="11">
        <f>INPUT!$B$30</f>
        <v>0.2662</v>
      </c>
      <c r="I89" s="14">
        <f t="shared" si="8"/>
        <v>0.553</v>
      </c>
    </row>
    <row r="90" spans="1:9" ht="12.75">
      <c r="A90" s="284"/>
      <c r="B90" s="293"/>
      <c r="C90" s="7" t="s">
        <v>15</v>
      </c>
      <c r="D90" s="15">
        <f>D89*0.5</f>
        <v>1</v>
      </c>
      <c r="E90" s="14">
        <f>ROUND(D90*RAW!$K$15,4)</f>
        <v>0.1434</v>
      </c>
      <c r="F90" s="14">
        <f>INPUT!$B$16</f>
        <v>0</v>
      </c>
      <c r="G90" s="14">
        <f>ROUND(G89/2,4)</f>
        <v>0</v>
      </c>
      <c r="H90" s="11">
        <f>ROUND($H$9/2,4)</f>
        <v>0.1331</v>
      </c>
      <c r="I90" s="14">
        <f t="shared" si="8"/>
        <v>0.2765</v>
      </c>
    </row>
    <row r="91" spans="1:9" ht="12.75">
      <c r="A91" s="284"/>
      <c r="B91" s="293"/>
      <c r="C91" s="7" t="s">
        <v>190</v>
      </c>
      <c r="D91" s="15">
        <f>D92/10*12</f>
        <v>0.75</v>
      </c>
      <c r="E91" s="14">
        <f>ROUND(D91*RAW!$K$15,4)</f>
        <v>0.1076</v>
      </c>
      <c r="F91" s="14">
        <f>INPUT!$B$17</f>
        <v>0.063</v>
      </c>
      <c r="G91" s="14">
        <f>ROUND(G89/32*12,4)</f>
        <v>0</v>
      </c>
      <c r="H91" s="11">
        <f>ROUND($H$9/32*12,4)</f>
        <v>0.0998</v>
      </c>
      <c r="I91" s="14">
        <f t="shared" si="8"/>
        <v>0.2704</v>
      </c>
    </row>
    <row r="92" spans="1:9" ht="12.75">
      <c r="A92" s="284"/>
      <c r="B92" s="293"/>
      <c r="C92" s="7" t="s">
        <v>56</v>
      </c>
      <c r="D92" s="15">
        <f>D89/32*10</f>
        <v>0.625</v>
      </c>
      <c r="E92" s="14">
        <f>ROUND(D92*RAW!$K$15,4)</f>
        <v>0.0896</v>
      </c>
      <c r="F92" s="14">
        <f>INPUT!$B$18</f>
        <v>0.0587</v>
      </c>
      <c r="G92" s="14">
        <f>ROUND(G89/32*10,4)</f>
        <v>0</v>
      </c>
      <c r="H92" s="11">
        <f>ROUND($H$9/32*10,4)</f>
        <v>0.0832</v>
      </c>
      <c r="I92" s="14">
        <f t="shared" si="8"/>
        <v>0.2315</v>
      </c>
    </row>
    <row r="93" spans="1:9" ht="12.75">
      <c r="A93" s="284"/>
      <c r="B93" s="293"/>
      <c r="C93" s="7" t="s">
        <v>57</v>
      </c>
      <c r="D93" s="15">
        <f>D90*0.5</f>
        <v>0.5</v>
      </c>
      <c r="E93" s="14">
        <f>ROUND(D93*RAW!$K$15,4)</f>
        <v>0.0717</v>
      </c>
      <c r="F93" s="14">
        <f>INPUT!$B$19</f>
        <v>0</v>
      </c>
      <c r="G93" s="14">
        <f>ROUND(G89/4,4)</f>
        <v>0</v>
      </c>
      <c r="H93" s="11">
        <f>ROUND($H$9/4,4)</f>
        <v>0.0666</v>
      </c>
      <c r="I93" s="14">
        <f t="shared" si="8"/>
        <v>0.1383</v>
      </c>
    </row>
    <row r="94" spans="1:9" ht="12.75">
      <c r="A94" s="284"/>
      <c r="B94" s="293"/>
      <c r="C94" s="7" t="s">
        <v>58</v>
      </c>
      <c r="D94" s="15">
        <f>D93/2</f>
        <v>0.25</v>
      </c>
      <c r="E94" s="14">
        <f>ROUND(D94*RAW!$K$15,4)</f>
        <v>0.0359</v>
      </c>
      <c r="F94" s="14">
        <f>INPUT!$B$21</f>
        <v>0.0195</v>
      </c>
      <c r="G94" s="14">
        <f>ROUND(G89/32*4,4)</f>
        <v>0</v>
      </c>
      <c r="H94" s="11">
        <f>ROUND($H$9/8,4)</f>
        <v>0.0333</v>
      </c>
      <c r="I94" s="14">
        <f t="shared" si="8"/>
        <v>0.0887</v>
      </c>
    </row>
    <row r="95" spans="1:9" ht="13.5" thickBot="1">
      <c r="A95" s="285"/>
      <c r="B95" s="294"/>
      <c r="C95" s="9" t="s">
        <v>59</v>
      </c>
      <c r="D95" s="15">
        <f>D89</f>
        <v>2</v>
      </c>
      <c r="E95" s="14">
        <f>ROUND(D95*RAW!$K$15,4)</f>
        <v>0.2868</v>
      </c>
      <c r="F95" s="14">
        <f>INPUT!$B$22</f>
        <v>0.0374</v>
      </c>
      <c r="G95" s="14">
        <f>G89</f>
        <v>0</v>
      </c>
      <c r="H95" s="11">
        <f>ROUND($H$9,4)</f>
        <v>0.2662</v>
      </c>
      <c r="I95" s="14">
        <f t="shared" si="8"/>
        <v>0.5904</v>
      </c>
    </row>
    <row r="96" spans="1:4" ht="14.25" thickBot="1" thickTop="1">
      <c r="A96" s="165"/>
      <c r="B96" s="167"/>
      <c r="C96" s="168"/>
      <c r="D96" s="16"/>
    </row>
    <row r="97" spans="1:9" ht="13.5" thickTop="1">
      <c r="A97" s="283" t="s">
        <v>60</v>
      </c>
      <c r="B97" s="292"/>
      <c r="C97" s="8" t="s">
        <v>55</v>
      </c>
      <c r="D97" s="15">
        <v>4.275</v>
      </c>
      <c r="E97" s="14">
        <f>ROUND(D97*RAW!$K$16,4)</f>
        <v>0</v>
      </c>
      <c r="F97" s="14">
        <f>INPUT!$B$14</f>
        <v>0</v>
      </c>
      <c r="G97" s="14">
        <f>G98*2</f>
        <v>0</v>
      </c>
      <c r="H97" s="11">
        <f>+H98*2</f>
        <v>0.5324</v>
      </c>
      <c r="I97" s="14">
        <f aca="true" t="shared" si="9" ref="I97:I107">ROUND(SUM(E97:H97),4)</f>
        <v>0.5324</v>
      </c>
    </row>
    <row r="98" spans="1:9" ht="12.75">
      <c r="A98" s="284"/>
      <c r="B98" s="293"/>
      <c r="C98" s="7" t="s">
        <v>14</v>
      </c>
      <c r="D98" s="15">
        <v>2.1375</v>
      </c>
      <c r="E98" s="14">
        <f>ROUND(D98*RAW!$K$16,4)</f>
        <v>0</v>
      </c>
      <c r="F98" s="14">
        <f>INPUT!$B$15</f>
        <v>0</v>
      </c>
      <c r="G98" s="14">
        <f>INPUT!B$36</f>
        <v>0</v>
      </c>
      <c r="H98" s="11">
        <f>INPUT!$B$30</f>
        <v>0.2662</v>
      </c>
      <c r="I98" s="14">
        <f t="shared" si="9"/>
        <v>0.2662</v>
      </c>
    </row>
    <row r="99" spans="1:9" ht="12.75">
      <c r="A99" s="284"/>
      <c r="B99" s="293"/>
      <c r="C99" s="7" t="s">
        <v>15</v>
      </c>
      <c r="D99" s="15">
        <v>1.06875</v>
      </c>
      <c r="E99" s="14">
        <f>ROUND(D99*RAW!$K$16,4)</f>
        <v>0</v>
      </c>
      <c r="F99" s="14">
        <f>INPUT!$B$16</f>
        <v>0</v>
      </c>
      <c r="G99" s="14">
        <f>ROUND(G98/2,4)</f>
        <v>0</v>
      </c>
      <c r="H99" s="11">
        <f>ROUND($H$9/2,4)</f>
        <v>0.1331</v>
      </c>
      <c r="I99" s="14">
        <f t="shared" si="9"/>
        <v>0.1331</v>
      </c>
    </row>
    <row r="100" spans="1:9" ht="12.75">
      <c r="A100" s="284"/>
      <c r="B100" s="293"/>
      <c r="C100" s="7" t="s">
        <v>190</v>
      </c>
      <c r="D100" s="15">
        <f>D101/10*12</f>
        <v>0.8015628000000001</v>
      </c>
      <c r="E100" s="14">
        <f>ROUND(D100*RAW!$K$16,4)</f>
        <v>0</v>
      </c>
      <c r="F100" s="14">
        <f>INPUT!$B$17</f>
        <v>0.063</v>
      </c>
      <c r="G100" s="14">
        <f>ROUND(G98/32*12,4)</f>
        <v>0</v>
      </c>
      <c r="H100" s="11">
        <f>ROUND($H$9/32*12,4)</f>
        <v>0.0998</v>
      </c>
      <c r="I100" s="14">
        <f t="shared" si="9"/>
        <v>0.1628</v>
      </c>
    </row>
    <row r="101" spans="1:9" ht="12.75">
      <c r="A101" s="284"/>
      <c r="B101" s="293"/>
      <c r="C101" s="7" t="s">
        <v>56</v>
      </c>
      <c r="D101" s="15">
        <v>0.667969</v>
      </c>
      <c r="E101" s="14">
        <f>ROUND(D101*RAW!$K$16,4)</f>
        <v>0</v>
      </c>
      <c r="F101" s="14">
        <f>INPUT!$B$18</f>
        <v>0.0587</v>
      </c>
      <c r="G101" s="14">
        <f>ROUND(G98/32*10,4)</f>
        <v>0</v>
      </c>
      <c r="H101" s="11">
        <f>ROUND($H$9/32*10,4)</f>
        <v>0.0832</v>
      </c>
      <c r="I101" s="14">
        <f t="shared" si="9"/>
        <v>0.1419</v>
      </c>
    </row>
    <row r="102" spans="1:9" ht="12.75">
      <c r="A102" s="284"/>
      <c r="B102" s="293"/>
      <c r="C102" s="7" t="s">
        <v>57</v>
      </c>
      <c r="D102" s="15">
        <v>0.534375</v>
      </c>
      <c r="E102" s="14">
        <f>ROUND(D102*RAW!$K$16,4)</f>
        <v>0</v>
      </c>
      <c r="F102" s="14">
        <f>INPUT!$B$19</f>
        <v>0</v>
      </c>
      <c r="G102" s="14">
        <f>ROUND(G98/4,4)</f>
        <v>0</v>
      </c>
      <c r="H102" s="11">
        <f>ROUND($H$9/4,4)</f>
        <v>0.0666</v>
      </c>
      <c r="I102" s="14">
        <f t="shared" si="9"/>
        <v>0.0666</v>
      </c>
    </row>
    <row r="103" spans="1:9" ht="12.75">
      <c r="A103" s="284"/>
      <c r="B103" s="293"/>
      <c r="C103" s="7" t="s">
        <v>58</v>
      </c>
      <c r="D103" s="15">
        <v>0.267188</v>
      </c>
      <c r="E103" s="14">
        <f>ROUND(D103*RAW!$K$16,4)</f>
        <v>0</v>
      </c>
      <c r="F103" s="14">
        <f>INPUT!$B$21</f>
        <v>0.0195</v>
      </c>
      <c r="G103" s="14">
        <f>ROUND(G98/32*4,4)</f>
        <v>0</v>
      </c>
      <c r="H103" s="11">
        <f>ROUND($H$9/8,4)</f>
        <v>0.0333</v>
      </c>
      <c r="I103" s="14">
        <f t="shared" si="9"/>
        <v>0.0528</v>
      </c>
    </row>
    <row r="104" spans="1:9" ht="12.75">
      <c r="A104" s="284"/>
      <c r="B104" s="293"/>
      <c r="C104" s="7" t="s">
        <v>59</v>
      </c>
      <c r="D104" s="15">
        <v>2.1375</v>
      </c>
      <c r="E104" s="14">
        <f>ROUND(D104*RAW!$K$16,4)</f>
        <v>0</v>
      </c>
      <c r="F104" s="14">
        <f>INPUT!$B$22</f>
        <v>0.0374</v>
      </c>
      <c r="G104" s="14">
        <f>G98</f>
        <v>0</v>
      </c>
      <c r="H104" s="14">
        <f>ROUND($H$9,4)</f>
        <v>0.2662</v>
      </c>
      <c r="I104" s="14">
        <f t="shared" si="9"/>
        <v>0.3036</v>
      </c>
    </row>
    <row r="105" spans="1:9" ht="12.75">
      <c r="A105" s="284"/>
      <c r="B105" s="293"/>
      <c r="C105" s="7" t="s">
        <v>61</v>
      </c>
      <c r="D105" s="15">
        <v>0.025049</v>
      </c>
      <c r="E105" s="14">
        <f>ROUND(D105*RAW!$K$16,4)</f>
        <v>0</v>
      </c>
      <c r="F105" s="11"/>
      <c r="G105" s="11"/>
      <c r="H105" s="14">
        <f>H103/32*3</f>
        <v>0.0031218750000000005</v>
      </c>
      <c r="I105" s="14">
        <f t="shared" si="9"/>
        <v>0.0031</v>
      </c>
    </row>
    <row r="106" spans="1:9" ht="12.75">
      <c r="A106" s="295"/>
      <c r="B106" s="296"/>
      <c r="C106" s="7" t="s">
        <v>62</v>
      </c>
      <c r="D106" s="15">
        <v>0.033399</v>
      </c>
      <c r="E106" s="14">
        <f>ROUND(D106*RAW!$K$16,4)</f>
        <v>0</v>
      </c>
      <c r="F106" s="11"/>
      <c r="G106" s="11"/>
      <c r="H106" s="14">
        <f>H9/64</f>
        <v>0.004159375</v>
      </c>
      <c r="I106" s="14">
        <f t="shared" si="9"/>
        <v>0.0042</v>
      </c>
    </row>
    <row r="107" spans="1:9" ht="13.5" thickBot="1">
      <c r="A107" s="297"/>
      <c r="B107" s="298"/>
      <c r="C107" s="9" t="s">
        <v>63</v>
      </c>
      <c r="D107" s="15">
        <v>0.050098</v>
      </c>
      <c r="E107" s="14">
        <f>ROUND(D107*RAW!$K$16,4)</f>
        <v>0</v>
      </c>
      <c r="F107" s="11"/>
      <c r="G107" s="11"/>
      <c r="H107" s="14">
        <f>H103/16*3</f>
        <v>0.006243750000000001</v>
      </c>
      <c r="I107" s="14">
        <f t="shared" si="9"/>
        <v>0.0062</v>
      </c>
    </row>
    <row r="108" spans="3:4" ht="14.25" thickBot="1" thickTop="1">
      <c r="C108" s="168"/>
      <c r="D108" s="16"/>
    </row>
    <row r="109" spans="1:9" ht="13.5" thickTop="1">
      <c r="A109" s="283" t="s">
        <v>176</v>
      </c>
      <c r="B109" s="289" t="s">
        <v>177</v>
      </c>
      <c r="C109" s="8" t="s">
        <v>55</v>
      </c>
      <c r="D109" s="15">
        <v>4.255</v>
      </c>
      <c r="E109" s="14">
        <f>ROUND(D109*RAW!$K$18,4)</f>
        <v>0</v>
      </c>
      <c r="F109" s="14">
        <f>INPUT!$B$14</f>
        <v>0</v>
      </c>
      <c r="G109" s="14">
        <f>G110*2</f>
        <v>0</v>
      </c>
      <c r="H109" s="11">
        <f>+H110*2</f>
        <v>0.5324</v>
      </c>
      <c r="I109" s="14">
        <f aca="true" t="shared" si="10" ref="I109:I116">ROUND(SUM(E109:H109),4)</f>
        <v>0.5324</v>
      </c>
    </row>
    <row r="110" spans="1:9" ht="12.75">
      <c r="A110" s="284"/>
      <c r="B110" s="290"/>
      <c r="C110" s="7" t="s">
        <v>14</v>
      </c>
      <c r="D110" s="15">
        <v>2.1275</v>
      </c>
      <c r="E110" s="14">
        <f>ROUND(D110*RAW!$K$18,4)</f>
        <v>0</v>
      </c>
      <c r="F110" s="14">
        <f>INPUT!$B$15</f>
        <v>0</v>
      </c>
      <c r="G110" s="14">
        <f>INPUT!B$36</f>
        <v>0</v>
      </c>
      <c r="H110" s="11">
        <f>INPUT!$B$30</f>
        <v>0.2662</v>
      </c>
      <c r="I110" s="14">
        <f t="shared" si="10"/>
        <v>0.2662</v>
      </c>
    </row>
    <row r="111" spans="1:9" ht="12.75">
      <c r="A111" s="284"/>
      <c r="B111" s="290"/>
      <c r="C111" s="7" t="s">
        <v>15</v>
      </c>
      <c r="D111" s="15">
        <v>1.06375</v>
      </c>
      <c r="E111" s="14">
        <f>ROUND(D111*RAW!$K$18,4)</f>
        <v>0</v>
      </c>
      <c r="F111" s="14">
        <f>INPUT!$B$16</f>
        <v>0</v>
      </c>
      <c r="G111" s="14">
        <f>ROUND(G110/2,4)</f>
        <v>0</v>
      </c>
      <c r="H111" s="11">
        <f>ROUND($H$9/2,4)</f>
        <v>0.1331</v>
      </c>
      <c r="I111" s="14">
        <f t="shared" si="10"/>
        <v>0.1331</v>
      </c>
    </row>
    <row r="112" spans="1:9" ht="12.75">
      <c r="A112" s="284"/>
      <c r="B112" s="290"/>
      <c r="C112" s="7" t="s">
        <v>190</v>
      </c>
      <c r="D112" s="15">
        <f>D113/10*12</f>
        <v>0.7978128</v>
      </c>
      <c r="E112" s="14">
        <f>ROUND(D112*RAW!$K$18,4)</f>
        <v>0</v>
      </c>
      <c r="F112" s="14">
        <f>INPUT!$B$17</f>
        <v>0.063</v>
      </c>
      <c r="G112" s="14">
        <f>ROUND(G110/32*12,4)</f>
        <v>0</v>
      </c>
      <c r="H112" s="11">
        <f>ROUND($H$9/32*12,4)</f>
        <v>0.0998</v>
      </c>
      <c r="I112" s="14">
        <f t="shared" si="10"/>
        <v>0.1628</v>
      </c>
    </row>
    <row r="113" spans="1:9" ht="12.75">
      <c r="A113" s="284"/>
      <c r="B113" s="290"/>
      <c r="C113" s="7" t="s">
        <v>56</v>
      </c>
      <c r="D113" s="15">
        <v>0.664844</v>
      </c>
      <c r="E113" s="14">
        <f>ROUND(D113*RAW!$K$18,4)</f>
        <v>0</v>
      </c>
      <c r="F113" s="14">
        <f>INPUT!$B$18</f>
        <v>0.0587</v>
      </c>
      <c r="G113" s="14">
        <f>ROUND(G110/32*10,4)</f>
        <v>0</v>
      </c>
      <c r="H113" s="11">
        <f>ROUND($H$9/32*10,4)</f>
        <v>0.0832</v>
      </c>
      <c r="I113" s="14">
        <f t="shared" si="10"/>
        <v>0.1419</v>
      </c>
    </row>
    <row r="114" spans="1:9" ht="12.75">
      <c r="A114" s="284"/>
      <c r="B114" s="290"/>
      <c r="C114" s="7" t="s">
        <v>57</v>
      </c>
      <c r="D114" s="15">
        <v>0.531875</v>
      </c>
      <c r="E114" s="14">
        <f>ROUND(D114*RAW!$K$18,4)</f>
        <v>0</v>
      </c>
      <c r="F114" s="14">
        <f>INPUT!$B$19</f>
        <v>0</v>
      </c>
      <c r="G114" s="14">
        <f>ROUND(G110/4,4)</f>
        <v>0</v>
      </c>
      <c r="H114" s="11">
        <f>ROUND($H$9/4,4)</f>
        <v>0.0666</v>
      </c>
      <c r="I114" s="14">
        <f t="shared" si="10"/>
        <v>0.0666</v>
      </c>
    </row>
    <row r="115" spans="1:9" ht="12.75">
      <c r="A115" s="284"/>
      <c r="B115" s="290"/>
      <c r="C115" s="7" t="s">
        <v>58</v>
      </c>
      <c r="D115" s="15">
        <v>0.265938</v>
      </c>
      <c r="E115" s="14">
        <f>ROUND(D115*RAW!$K$18,4)</f>
        <v>0</v>
      </c>
      <c r="F115" s="14">
        <f>INPUT!$B$21</f>
        <v>0.0195</v>
      </c>
      <c r="G115" s="14">
        <f>ROUND(G110/32*4,4)</f>
        <v>0</v>
      </c>
      <c r="H115" s="11">
        <f>ROUND($H$9/8,4)</f>
        <v>0.0333</v>
      </c>
      <c r="I115" s="14">
        <f t="shared" si="10"/>
        <v>0.0528</v>
      </c>
    </row>
    <row r="116" spans="1:9" ht="13.5" thickBot="1">
      <c r="A116" s="285"/>
      <c r="B116" s="291"/>
      <c r="C116" s="9" t="s">
        <v>59</v>
      </c>
      <c r="D116" s="15">
        <v>2.1275</v>
      </c>
      <c r="E116" s="14">
        <f>ROUND(D116*RAW!$K$18,4)</f>
        <v>0</v>
      </c>
      <c r="F116" s="14">
        <f>INPUT!$B$22</f>
        <v>0.0374</v>
      </c>
      <c r="G116" s="14">
        <f>G110</f>
        <v>0</v>
      </c>
      <c r="H116" s="11">
        <f>ROUND($H$9,4)</f>
        <v>0.2662</v>
      </c>
      <c r="I116" s="14">
        <f t="shared" si="10"/>
        <v>0.3036</v>
      </c>
    </row>
    <row r="117" spans="3:4" ht="14.25" thickBot="1" thickTop="1">
      <c r="C117" s="168"/>
      <c r="D117" s="16"/>
    </row>
    <row r="118" spans="1:9" ht="13.5" thickTop="1">
      <c r="A118" s="283" t="s">
        <v>178</v>
      </c>
      <c r="B118" s="289" t="s">
        <v>177</v>
      </c>
      <c r="C118" s="8" t="s">
        <v>55</v>
      </c>
      <c r="D118" s="15">
        <v>4.205</v>
      </c>
      <c r="E118" s="14">
        <f>ROUND(D118*RAW!$K$19,4)</f>
        <v>0</v>
      </c>
      <c r="F118" s="14">
        <f>INPUT!$B$14</f>
        <v>0</v>
      </c>
      <c r="G118" s="14">
        <f>G119*2</f>
        <v>0</v>
      </c>
      <c r="H118" s="11">
        <f>+H119*2</f>
        <v>0.5324</v>
      </c>
      <c r="I118" s="14">
        <f aca="true" t="shared" si="11" ref="I118:I125">ROUND(SUM(E118:H118),4)</f>
        <v>0.5324</v>
      </c>
    </row>
    <row r="119" spans="1:9" ht="12.75">
      <c r="A119" s="284"/>
      <c r="B119" s="290"/>
      <c r="C119" s="7" t="s">
        <v>14</v>
      </c>
      <c r="D119" s="15">
        <v>2.1025</v>
      </c>
      <c r="E119" s="14">
        <f>ROUND(D119*RAW!$K$19,4)</f>
        <v>0</v>
      </c>
      <c r="F119" s="14">
        <f>INPUT!$B$15</f>
        <v>0</v>
      </c>
      <c r="G119" s="14">
        <f>INPUT!B$36</f>
        <v>0</v>
      </c>
      <c r="H119" s="11">
        <f>INPUT!$B$30</f>
        <v>0.2662</v>
      </c>
      <c r="I119" s="14">
        <f t="shared" si="11"/>
        <v>0.2662</v>
      </c>
    </row>
    <row r="120" spans="1:9" ht="12.75">
      <c r="A120" s="284"/>
      <c r="B120" s="290"/>
      <c r="C120" s="7" t="s">
        <v>15</v>
      </c>
      <c r="D120" s="15">
        <v>1.05125</v>
      </c>
      <c r="E120" s="14">
        <f>ROUND(D120*RAW!$K$19,4)</f>
        <v>0</v>
      </c>
      <c r="F120" s="14">
        <f>INPUT!$B$16</f>
        <v>0</v>
      </c>
      <c r="G120" s="14">
        <f>ROUND(G119/2,4)</f>
        <v>0</v>
      </c>
      <c r="H120" s="11">
        <f>ROUND($H$9/2,4)</f>
        <v>0.1331</v>
      </c>
      <c r="I120" s="14">
        <f t="shared" si="11"/>
        <v>0.1331</v>
      </c>
    </row>
    <row r="121" spans="1:9" ht="12.75">
      <c r="A121" s="284"/>
      <c r="B121" s="290"/>
      <c r="C121" s="7" t="s">
        <v>190</v>
      </c>
      <c r="D121" s="15">
        <f>D122/10*12</f>
        <v>0.7884372</v>
      </c>
      <c r="E121" s="14">
        <f>ROUND(D121*RAW!$K$19,4)</f>
        <v>0</v>
      </c>
      <c r="F121" s="14">
        <f>INPUT!$B$17</f>
        <v>0.063</v>
      </c>
      <c r="G121" s="14">
        <f>ROUND(G119/32*12,4)</f>
        <v>0</v>
      </c>
      <c r="H121" s="11">
        <f>ROUND($H$9/32*12,4)</f>
        <v>0.0998</v>
      </c>
      <c r="I121" s="14">
        <f t="shared" si="11"/>
        <v>0.1628</v>
      </c>
    </row>
    <row r="122" spans="1:9" ht="12.75">
      <c r="A122" s="284"/>
      <c r="B122" s="290"/>
      <c r="C122" s="7" t="s">
        <v>56</v>
      </c>
      <c r="D122" s="15">
        <v>0.657031</v>
      </c>
      <c r="E122" s="14">
        <f>ROUND(D122*RAW!$K$19,4)</f>
        <v>0</v>
      </c>
      <c r="F122" s="14">
        <f>INPUT!$B$18</f>
        <v>0.0587</v>
      </c>
      <c r="G122" s="14">
        <f>ROUND(G119/32*10,4)</f>
        <v>0</v>
      </c>
      <c r="H122" s="11">
        <f>ROUND($H$9/32*10,4)</f>
        <v>0.0832</v>
      </c>
      <c r="I122" s="14">
        <f t="shared" si="11"/>
        <v>0.1419</v>
      </c>
    </row>
    <row r="123" spans="1:9" ht="12.75">
      <c r="A123" s="284"/>
      <c r="B123" s="290"/>
      <c r="C123" s="7" t="s">
        <v>57</v>
      </c>
      <c r="D123" s="15">
        <v>0.525625</v>
      </c>
      <c r="E123" s="14">
        <f>ROUND(D123*RAW!$K$19,4)</f>
        <v>0</v>
      </c>
      <c r="F123" s="14">
        <f>INPUT!$B$19</f>
        <v>0</v>
      </c>
      <c r="G123" s="14">
        <f>ROUND(G119/4,4)</f>
        <v>0</v>
      </c>
      <c r="H123" s="11">
        <f>ROUND($H$9/4,4)</f>
        <v>0.0666</v>
      </c>
      <c r="I123" s="14">
        <f t="shared" si="11"/>
        <v>0.0666</v>
      </c>
    </row>
    <row r="124" spans="1:9" ht="12.75">
      <c r="A124" s="284"/>
      <c r="B124" s="290"/>
      <c r="C124" s="7" t="s">
        <v>58</v>
      </c>
      <c r="D124" s="15">
        <v>0.262813</v>
      </c>
      <c r="E124" s="14">
        <f>ROUND(D124*RAW!$K$19,4)</f>
        <v>0</v>
      </c>
      <c r="F124" s="14">
        <f>INPUT!$B$21</f>
        <v>0.0195</v>
      </c>
      <c r="G124" s="14">
        <f>ROUND(G119/32*4,4)</f>
        <v>0</v>
      </c>
      <c r="H124" s="11">
        <f>ROUND($H$9/8,4)</f>
        <v>0.0333</v>
      </c>
      <c r="I124" s="14">
        <f t="shared" si="11"/>
        <v>0.0528</v>
      </c>
    </row>
    <row r="125" spans="1:9" ht="13.5" thickBot="1">
      <c r="A125" s="285"/>
      <c r="B125" s="291"/>
      <c r="C125" s="9" t="s">
        <v>59</v>
      </c>
      <c r="D125" s="15">
        <v>2.1025</v>
      </c>
      <c r="E125" s="14">
        <f>ROUND(D125*RAW!$K$19,4)</f>
        <v>0</v>
      </c>
      <c r="F125" s="14">
        <f>INPUT!$B$22</f>
        <v>0.0374</v>
      </c>
      <c r="G125" s="14">
        <f>G119</f>
        <v>0</v>
      </c>
      <c r="H125" s="11">
        <f>ROUND($H$9,4)</f>
        <v>0.2662</v>
      </c>
      <c r="I125" s="14">
        <f t="shared" si="11"/>
        <v>0.3036</v>
      </c>
    </row>
    <row r="126" spans="3:4" ht="14.25" thickBot="1" thickTop="1">
      <c r="C126" s="168"/>
      <c r="D126" s="16"/>
    </row>
    <row r="127" spans="1:9" ht="13.5" thickTop="1">
      <c r="A127" s="283" t="s">
        <v>179</v>
      </c>
      <c r="B127" s="289" t="s">
        <v>177</v>
      </c>
      <c r="C127" s="8" t="s">
        <v>55</v>
      </c>
      <c r="D127" s="15">
        <f>D128*2</f>
        <v>4.175</v>
      </c>
      <c r="E127" s="14">
        <f>ROUND(D127*RAW!$K$20,4)</f>
        <v>0</v>
      </c>
      <c r="F127" s="14">
        <f>INPUT!$B$14</f>
        <v>0</v>
      </c>
      <c r="G127" s="14">
        <f>G128*2</f>
        <v>0</v>
      </c>
      <c r="H127" s="11">
        <f>+H128*2</f>
        <v>0.5324</v>
      </c>
      <c r="I127" s="14">
        <f aca="true" t="shared" si="12" ref="I127:I134">ROUND(SUM(E127:H127),4)</f>
        <v>0.5324</v>
      </c>
    </row>
    <row r="128" spans="1:9" ht="12.75">
      <c r="A128" s="284"/>
      <c r="B128" s="290"/>
      <c r="C128" s="7" t="s">
        <v>14</v>
      </c>
      <c r="D128" s="15">
        <v>2.0875</v>
      </c>
      <c r="E128" s="14">
        <f>ROUND(D128*RAW!$K$20,4)</f>
        <v>0</v>
      </c>
      <c r="F128" s="14">
        <f>INPUT!$B$15</f>
        <v>0</v>
      </c>
      <c r="G128" s="14">
        <f>INPUT!B$36</f>
        <v>0</v>
      </c>
      <c r="H128" s="11">
        <f>INPUT!$B$30</f>
        <v>0.2662</v>
      </c>
      <c r="I128" s="14">
        <f t="shared" si="12"/>
        <v>0.2662</v>
      </c>
    </row>
    <row r="129" spans="1:9" ht="12.75">
      <c r="A129" s="284"/>
      <c r="B129" s="290"/>
      <c r="C129" s="7" t="s">
        <v>15</v>
      </c>
      <c r="D129" s="15">
        <f>D128/2</f>
        <v>1.04375</v>
      </c>
      <c r="E129" s="14">
        <f>ROUND(D129*RAW!$K$20,4)</f>
        <v>0</v>
      </c>
      <c r="F129" s="14">
        <f>INPUT!$B$16</f>
        <v>0</v>
      </c>
      <c r="G129" s="14">
        <f>ROUND(G128/2,4)</f>
        <v>0</v>
      </c>
      <c r="H129" s="11">
        <f>ROUND($H$9/2,4)</f>
        <v>0.1331</v>
      </c>
      <c r="I129" s="14">
        <f t="shared" si="12"/>
        <v>0.1331</v>
      </c>
    </row>
    <row r="130" spans="1:9" ht="12.75">
      <c r="A130" s="284"/>
      <c r="B130" s="290"/>
      <c r="C130" s="7" t="s">
        <v>190</v>
      </c>
      <c r="D130" s="15">
        <f>D131/10*12</f>
        <v>0.7828124999999999</v>
      </c>
      <c r="E130" s="14">
        <f>ROUND(D130*RAW!$K$20,4)</f>
        <v>0</v>
      </c>
      <c r="F130" s="14">
        <f>INPUT!$B$17</f>
        <v>0.063</v>
      </c>
      <c r="G130" s="14">
        <f>ROUND(G128/32*12,4)</f>
        <v>0</v>
      </c>
      <c r="H130" s="11">
        <f>ROUND($H$9/32*12,4)</f>
        <v>0.0998</v>
      </c>
      <c r="I130" s="14">
        <f t="shared" si="12"/>
        <v>0.1628</v>
      </c>
    </row>
    <row r="131" spans="1:9" ht="12.75">
      <c r="A131" s="284"/>
      <c r="B131" s="290"/>
      <c r="C131" s="7" t="s">
        <v>56</v>
      </c>
      <c r="D131" s="15">
        <f>D128/32*10</f>
        <v>0.65234375</v>
      </c>
      <c r="E131" s="14">
        <f>ROUND(D131*RAW!$K$20,4)</f>
        <v>0</v>
      </c>
      <c r="F131" s="14">
        <f>INPUT!$B$18</f>
        <v>0.0587</v>
      </c>
      <c r="G131" s="14">
        <f>ROUND(G128/32*10,4)</f>
        <v>0</v>
      </c>
      <c r="H131" s="11">
        <f>ROUND($H$9/32*10,4)</f>
        <v>0.0832</v>
      </c>
      <c r="I131" s="14">
        <f t="shared" si="12"/>
        <v>0.1419</v>
      </c>
    </row>
    <row r="132" spans="1:9" ht="12.75">
      <c r="A132" s="284"/>
      <c r="B132" s="290"/>
      <c r="C132" s="7" t="s">
        <v>57</v>
      </c>
      <c r="D132" s="15">
        <f>D129/2</f>
        <v>0.521875</v>
      </c>
      <c r="E132" s="14">
        <f>ROUND(D132*RAW!$K$20,4)</f>
        <v>0</v>
      </c>
      <c r="F132" s="14">
        <f>INPUT!$B$19</f>
        <v>0</v>
      </c>
      <c r="G132" s="14">
        <f>ROUND(G128/4,4)</f>
        <v>0</v>
      </c>
      <c r="H132" s="11">
        <f>ROUND($H$9/4,4)</f>
        <v>0.0666</v>
      </c>
      <c r="I132" s="14">
        <f t="shared" si="12"/>
        <v>0.0666</v>
      </c>
    </row>
    <row r="133" spans="1:9" ht="12.75">
      <c r="A133" s="284"/>
      <c r="B133" s="290"/>
      <c r="C133" s="7" t="s">
        <v>58</v>
      </c>
      <c r="D133" s="15">
        <f>D132/2</f>
        <v>0.2609375</v>
      </c>
      <c r="E133" s="14">
        <f>ROUND(D133*RAW!$K$20,4)</f>
        <v>0</v>
      </c>
      <c r="F133" s="14">
        <f>INPUT!$B$21</f>
        <v>0.0195</v>
      </c>
      <c r="G133" s="14">
        <f>ROUND(G128/32*4,4)</f>
        <v>0</v>
      </c>
      <c r="H133" s="11">
        <f>ROUND($H$9/8,4)</f>
        <v>0.0333</v>
      </c>
      <c r="I133" s="14">
        <f t="shared" si="12"/>
        <v>0.0528</v>
      </c>
    </row>
    <row r="134" spans="1:9" ht="13.5" thickBot="1">
      <c r="A134" s="285"/>
      <c r="B134" s="291"/>
      <c r="C134" s="9" t="s">
        <v>59</v>
      </c>
      <c r="D134" s="15">
        <f>D128</f>
        <v>2.0875</v>
      </c>
      <c r="E134" s="14">
        <f>ROUND(D134*RAW!$K$20,4)</f>
        <v>0</v>
      </c>
      <c r="F134" s="14">
        <f>INPUT!$B$22</f>
        <v>0.0374</v>
      </c>
      <c r="G134" s="14">
        <f>G128</f>
        <v>0</v>
      </c>
      <c r="H134" s="11">
        <f>ROUND($H$9,4)</f>
        <v>0.2662</v>
      </c>
      <c r="I134" s="14">
        <f t="shared" si="12"/>
        <v>0.3036</v>
      </c>
    </row>
    <row r="135" spans="3:4" ht="14.25" thickBot="1" thickTop="1">
      <c r="C135" s="168"/>
      <c r="D135" s="16"/>
    </row>
    <row r="136" spans="1:9" ht="13.5" thickTop="1">
      <c r="A136" s="283" t="s">
        <v>65</v>
      </c>
      <c r="B136" s="289"/>
      <c r="C136" s="8" t="s">
        <v>55</v>
      </c>
      <c r="D136" s="15">
        <v>4.255</v>
      </c>
      <c r="E136" s="14">
        <f>ROUND(D136*RAW!$K$17,4)</f>
        <v>0</v>
      </c>
      <c r="F136" s="14"/>
      <c r="G136" s="14">
        <f>G137*2</f>
        <v>0</v>
      </c>
      <c r="H136" s="11">
        <f>+H137*2</f>
        <v>0.5324</v>
      </c>
      <c r="I136" s="14">
        <f aca="true" t="shared" si="13" ref="I136:I143">ROUND(SUM(E136:H136),4)</f>
        <v>0.5324</v>
      </c>
    </row>
    <row r="137" spans="1:9" ht="12.75">
      <c r="A137" s="284"/>
      <c r="B137" s="290"/>
      <c r="C137" s="7" t="s">
        <v>14</v>
      </c>
      <c r="D137" s="15">
        <v>2.1275</v>
      </c>
      <c r="E137" s="14">
        <f>ROUND(D137*RAW!$K$17,4)</f>
        <v>0</v>
      </c>
      <c r="F137" s="14"/>
      <c r="G137" s="14">
        <f>INPUT!B$36</f>
        <v>0</v>
      </c>
      <c r="H137" s="11">
        <f>INPUT!$B$30</f>
        <v>0.2662</v>
      </c>
      <c r="I137" s="14">
        <f t="shared" si="13"/>
        <v>0.2662</v>
      </c>
    </row>
    <row r="138" spans="1:9" ht="12.75">
      <c r="A138" s="284"/>
      <c r="B138" s="290"/>
      <c r="C138" s="7" t="s">
        <v>15</v>
      </c>
      <c r="D138" s="15">
        <v>1.06375</v>
      </c>
      <c r="E138" s="14">
        <f>ROUND(D138*RAW!$K$17,4)</f>
        <v>0</v>
      </c>
      <c r="F138" s="14"/>
      <c r="G138" s="14">
        <f>ROUND(G137/2,4)</f>
        <v>0</v>
      </c>
      <c r="H138" s="11">
        <f>ROUND($H$9/2,4)</f>
        <v>0.1331</v>
      </c>
      <c r="I138" s="14">
        <f t="shared" si="13"/>
        <v>0.1331</v>
      </c>
    </row>
    <row r="139" spans="1:9" ht="12.75">
      <c r="A139" s="284"/>
      <c r="B139" s="290"/>
      <c r="C139" s="7" t="s">
        <v>190</v>
      </c>
      <c r="D139" s="15">
        <f>D140/10*12</f>
        <v>0.7978128</v>
      </c>
      <c r="E139" s="14">
        <f>ROUND(D139*RAW!$K$17,4)</f>
        <v>0</v>
      </c>
      <c r="F139" s="14"/>
      <c r="G139" s="14">
        <f>ROUND(G137/32*12,4)</f>
        <v>0</v>
      </c>
      <c r="H139" s="11">
        <f>ROUND($H$9/32*12,4)</f>
        <v>0.0998</v>
      </c>
      <c r="I139" s="14">
        <f t="shared" si="13"/>
        <v>0.0998</v>
      </c>
    </row>
    <row r="140" spans="1:9" ht="12.75">
      <c r="A140" s="284"/>
      <c r="B140" s="290"/>
      <c r="C140" s="7" t="s">
        <v>56</v>
      </c>
      <c r="D140" s="15">
        <v>0.664844</v>
      </c>
      <c r="E140" s="14">
        <f>ROUND(D140*RAW!$K$17,4)</f>
        <v>0</v>
      </c>
      <c r="F140" s="14"/>
      <c r="G140" s="14">
        <f>ROUND(G137/32*10,4)</f>
        <v>0</v>
      </c>
      <c r="H140" s="11">
        <f>ROUND($H$9/32*10,4)</f>
        <v>0.0832</v>
      </c>
      <c r="I140" s="14">
        <f t="shared" si="13"/>
        <v>0.0832</v>
      </c>
    </row>
    <row r="141" spans="1:9" ht="12.75">
      <c r="A141" s="284"/>
      <c r="B141" s="290"/>
      <c r="C141" s="7" t="s">
        <v>57</v>
      </c>
      <c r="D141" s="15">
        <v>0.531875</v>
      </c>
      <c r="E141" s="14">
        <f>ROUND(D141*RAW!$K$17,4)</f>
        <v>0</v>
      </c>
      <c r="F141" s="14"/>
      <c r="G141" s="14">
        <f>ROUND(G137/4,4)</f>
        <v>0</v>
      </c>
      <c r="H141" s="11">
        <f>ROUND($H$9/4,4)</f>
        <v>0.0666</v>
      </c>
      <c r="I141" s="14">
        <f t="shared" si="13"/>
        <v>0.0666</v>
      </c>
    </row>
    <row r="142" spans="1:9" ht="12.75">
      <c r="A142" s="284"/>
      <c r="B142" s="290"/>
      <c r="C142" s="7" t="s">
        <v>58</v>
      </c>
      <c r="D142" s="15">
        <v>0.265938</v>
      </c>
      <c r="E142" s="14">
        <f>ROUND(D142*RAW!$K$17,4)</f>
        <v>0</v>
      </c>
      <c r="F142" s="14"/>
      <c r="G142" s="14">
        <f>ROUND(G137/32*4,4)</f>
        <v>0</v>
      </c>
      <c r="H142" s="11">
        <f>ROUND($H$9/8,4)</f>
        <v>0.0333</v>
      </c>
      <c r="I142" s="14">
        <f t="shared" si="13"/>
        <v>0.0333</v>
      </c>
    </row>
    <row r="143" spans="1:9" ht="13.5" thickBot="1">
      <c r="A143" s="285"/>
      <c r="B143" s="291"/>
      <c r="C143" s="7" t="s">
        <v>59</v>
      </c>
      <c r="D143" s="15">
        <v>2.1275</v>
      </c>
      <c r="E143" s="14">
        <f>ROUND(D143*RAW!$K$17,4)</f>
        <v>0</v>
      </c>
      <c r="F143" s="14"/>
      <c r="G143" s="14">
        <f>G137</f>
        <v>0</v>
      </c>
      <c r="H143" s="11">
        <f>ROUND($H$9,4)</f>
        <v>0.2662</v>
      </c>
      <c r="I143" s="14">
        <f t="shared" si="13"/>
        <v>0.2662</v>
      </c>
    </row>
    <row r="144" ht="13.5" thickTop="1"/>
  </sheetData>
  <sheetProtection/>
  <mergeCells count="24">
    <mergeCell ref="A27:A35"/>
    <mergeCell ref="B27:B35"/>
    <mergeCell ref="A37:A45"/>
    <mergeCell ref="B37:B45"/>
    <mergeCell ref="A109:A116"/>
    <mergeCell ref="B109:B116"/>
    <mergeCell ref="A67:A75"/>
    <mergeCell ref="B67:B75"/>
    <mergeCell ref="A7:A15"/>
    <mergeCell ref="B7:B15"/>
    <mergeCell ref="A17:A25"/>
    <mergeCell ref="B17:B25"/>
    <mergeCell ref="A47:A55"/>
    <mergeCell ref="B47:B55"/>
    <mergeCell ref="A57:A65"/>
    <mergeCell ref="B57:B65"/>
    <mergeCell ref="A136:B143"/>
    <mergeCell ref="A118:A125"/>
    <mergeCell ref="B118:B125"/>
    <mergeCell ref="A127:A134"/>
    <mergeCell ref="B127:B134"/>
    <mergeCell ref="A77:B85"/>
    <mergeCell ref="A87:B95"/>
    <mergeCell ref="A97:B107"/>
  </mergeCells>
  <printOptions/>
  <pageMargins left="0.75" right="0.75" top="1" bottom="1" header="0.5" footer="0.5"/>
  <pageSetup horizontalDpi="300" verticalDpi="300" orientation="portrait" r:id="rId1"/>
  <rowBreaks count="2" manualBreakCount="2">
    <brk id="41" max="65535" man="1"/>
    <brk id="7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6"/>
  <sheetViews>
    <sheetView zoomScale="75" zoomScaleNormal="75" zoomScalePageLayoutView="0" workbookViewId="0" topLeftCell="A4">
      <pane xSplit="3" ySplit="4" topLeftCell="D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F9" sqref="F9"/>
    </sheetView>
  </sheetViews>
  <sheetFormatPr defaultColWidth="9.140625" defaultRowHeight="12.75"/>
  <cols>
    <col min="1" max="2" width="3.7109375" style="0" customWidth="1"/>
    <col min="3" max="3" width="15.8515625" style="0" customWidth="1"/>
    <col min="4" max="4" width="11.28125" style="0" customWidth="1"/>
    <col min="5" max="7" width="13.57421875" style="0" customWidth="1"/>
    <col min="8" max="8" width="16.7109375" style="0" customWidth="1"/>
    <col min="9" max="9" width="12.7109375" style="0" customWidth="1"/>
    <col min="10" max="10" width="8.57421875" style="0" customWidth="1"/>
    <col min="11" max="12" width="10.00390625" style="0" customWidth="1"/>
    <col min="13" max="13" width="11.7109375" style="0" customWidth="1"/>
    <col min="14" max="15" width="14.421875" style="0" customWidth="1"/>
    <col min="16" max="17" width="12.7109375" style="0" customWidth="1"/>
    <col min="18" max="18" width="12.7109375" style="0" hidden="1" customWidth="1"/>
    <col min="19" max="19" width="12.7109375" style="0" customWidth="1"/>
    <col min="20" max="20" width="9.7109375" style="0" hidden="1" customWidth="1"/>
    <col min="21" max="21" width="12.00390625" style="153" customWidth="1"/>
    <col min="22" max="22" width="12.140625" style="0" customWidth="1"/>
  </cols>
  <sheetData>
    <row r="1" spans="3:20" ht="12.75">
      <c r="C1" s="17" t="s">
        <v>33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3:20" ht="12.75">
      <c r="C2" s="17" t="s">
        <v>135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3:21" ht="13.5" thickBot="1">
      <c r="C3" s="152">
        <f>INPUT!B3</f>
        <v>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6">
        <f ca="1">NOW()</f>
        <v>43633.63753425926</v>
      </c>
    </row>
    <row r="4" spans="4:22" ht="13.5" thickTop="1">
      <c r="D4" s="4">
        <v>1</v>
      </c>
      <c r="E4" s="4">
        <v>2</v>
      </c>
      <c r="F4" s="4">
        <v>3</v>
      </c>
      <c r="G4" s="243"/>
      <c r="H4" s="240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170">
        <v>10</v>
      </c>
      <c r="O4" s="4">
        <v>11</v>
      </c>
      <c r="P4" s="4">
        <v>12</v>
      </c>
      <c r="Q4" s="4">
        <v>13</v>
      </c>
      <c r="R4" s="4">
        <v>14</v>
      </c>
      <c r="S4" s="4">
        <v>14</v>
      </c>
      <c r="T4" s="4">
        <v>12</v>
      </c>
      <c r="U4" s="170">
        <v>15</v>
      </c>
      <c r="V4" s="4">
        <v>16</v>
      </c>
    </row>
    <row r="5" spans="3:22" ht="12.75">
      <c r="C5" t="s">
        <v>164</v>
      </c>
      <c r="D5" s="18" t="s">
        <v>66</v>
      </c>
      <c r="E5" s="18" t="s">
        <v>67</v>
      </c>
      <c r="F5" s="18" t="s">
        <v>69</v>
      </c>
      <c r="G5" s="244" t="s">
        <v>146</v>
      </c>
      <c r="I5" s="18"/>
      <c r="J5" s="19">
        <f>INPUT!B57</f>
        <v>0.034</v>
      </c>
      <c r="K5" s="18" t="s">
        <v>68</v>
      </c>
      <c r="L5" s="18" t="s">
        <v>66</v>
      </c>
      <c r="M5" s="18" t="s">
        <v>69</v>
      </c>
      <c r="N5" s="171"/>
      <c r="O5" s="201" t="s">
        <v>180</v>
      </c>
      <c r="P5" s="18"/>
      <c r="Q5" s="18" t="s">
        <v>139</v>
      </c>
      <c r="R5" s="18"/>
      <c r="S5" s="19">
        <f>INPUT!B79</f>
        <v>0.027</v>
      </c>
      <c r="T5" s="18"/>
      <c r="U5" s="171"/>
      <c r="V5" s="201" t="s">
        <v>180</v>
      </c>
    </row>
    <row r="6" spans="4:22" ht="12.75">
      <c r="D6" s="18" t="s">
        <v>70</v>
      </c>
      <c r="E6" s="18" t="s">
        <v>71</v>
      </c>
      <c r="F6" s="18" t="s">
        <v>52</v>
      </c>
      <c r="G6" s="244"/>
      <c r="H6" s="241" t="s">
        <v>163</v>
      </c>
      <c r="I6" s="18" t="s">
        <v>72</v>
      </c>
      <c r="J6" s="18" t="s">
        <v>32</v>
      </c>
      <c r="K6" s="18" t="s">
        <v>73</v>
      </c>
      <c r="L6" s="18" t="s">
        <v>74</v>
      </c>
      <c r="M6" s="18" t="s">
        <v>74</v>
      </c>
      <c r="N6" s="171" t="s">
        <v>162</v>
      </c>
      <c r="O6" s="18" t="s">
        <v>8</v>
      </c>
      <c r="P6" s="18" t="s">
        <v>46</v>
      </c>
      <c r="Q6" s="18" t="s">
        <v>140</v>
      </c>
      <c r="R6" s="18" t="s">
        <v>144</v>
      </c>
      <c r="S6" s="19" t="s">
        <v>77</v>
      </c>
      <c r="T6" s="20"/>
      <c r="U6" s="177" t="s">
        <v>162</v>
      </c>
      <c r="V6" s="20" t="s">
        <v>8</v>
      </c>
    </row>
    <row r="7" spans="4:22" ht="13.5" thickBot="1">
      <c r="D7" s="5" t="s">
        <v>40</v>
      </c>
      <c r="E7" s="5" t="s">
        <v>76</v>
      </c>
      <c r="F7" s="5" t="s">
        <v>76</v>
      </c>
      <c r="G7" s="244"/>
      <c r="H7" s="242" t="s">
        <v>71</v>
      </c>
      <c r="I7" s="5" t="s">
        <v>68</v>
      </c>
      <c r="J7" s="5" t="s">
        <v>75</v>
      </c>
      <c r="K7" s="5" t="s">
        <v>32</v>
      </c>
      <c r="L7" s="5" t="s">
        <v>76</v>
      </c>
      <c r="M7" s="5" t="s">
        <v>76</v>
      </c>
      <c r="N7" s="172" t="s">
        <v>72</v>
      </c>
      <c r="O7" s="5" t="s">
        <v>72</v>
      </c>
      <c r="P7" s="5" t="s">
        <v>138</v>
      </c>
      <c r="Q7" s="5" t="s">
        <v>40</v>
      </c>
      <c r="R7" s="5" t="s">
        <v>32</v>
      </c>
      <c r="S7" s="5" t="s">
        <v>32</v>
      </c>
      <c r="T7" s="21" t="s">
        <v>77</v>
      </c>
      <c r="U7" s="178" t="s">
        <v>77</v>
      </c>
      <c r="V7" s="21" t="s">
        <v>77</v>
      </c>
    </row>
    <row r="8" spans="3:20" ht="14.25" thickBot="1" thickTop="1">
      <c r="C8" s="169"/>
      <c r="N8" s="153"/>
      <c r="O8" s="153"/>
      <c r="P8" s="153"/>
      <c r="Q8" s="153"/>
      <c r="R8" s="153"/>
      <c r="S8" s="153"/>
      <c r="T8" s="153"/>
    </row>
    <row r="9" spans="1:22" ht="14.25" thickBot="1" thickTop="1">
      <c r="A9" s="283" t="s">
        <v>170</v>
      </c>
      <c r="B9" s="286" t="s">
        <v>171</v>
      </c>
      <c r="C9" s="6" t="s">
        <v>12</v>
      </c>
      <c r="D9" s="22">
        <f>'CNTNR COST'!I7</f>
        <v>1.0631</v>
      </c>
      <c r="E9" s="10">
        <v>0</v>
      </c>
      <c r="F9" s="10">
        <f>INPUT!B63</f>
        <v>-0.0532</v>
      </c>
      <c r="G9" s="10">
        <f>G11*4</f>
        <v>0.0232</v>
      </c>
      <c r="H9" s="26">
        <f>ROUND($H$11*4,6)</f>
        <v>0</v>
      </c>
      <c r="I9" s="10">
        <f>ROUND(SUM(D9:H9),4)</f>
        <v>1.0331</v>
      </c>
      <c r="J9" s="10">
        <f>(I9/(1-$J$5))-I9</f>
        <v>0.036361697722567365</v>
      </c>
      <c r="K9" s="28">
        <f>ROUND(I9+J9,4)</f>
        <v>1.0695</v>
      </c>
      <c r="L9" s="10">
        <f>ROUND(L$11*4,4)</f>
        <v>-0.4992</v>
      </c>
      <c r="M9" s="10">
        <f>ROUND(M$11*4,4)</f>
        <v>0.9448</v>
      </c>
      <c r="N9" s="173">
        <f aca="true" t="shared" si="0" ref="N9:N17">ROUND(SUM(K9:M9),4)</f>
        <v>1.5151</v>
      </c>
      <c r="O9" s="187">
        <v>2.4013</v>
      </c>
      <c r="P9" s="28">
        <f>ROUND(-INPUT!$B$74*DETAIL!N9,4)</f>
        <v>-0.197</v>
      </c>
      <c r="Q9" s="28">
        <f>Q11*4</f>
        <v>0</v>
      </c>
      <c r="R9" s="28" t="e">
        <f>ROUND((Q9+#REF!+N9)/(1-INPUT!$B$79)-(Q9+#REF!+N9),4)</f>
        <v>#REF!</v>
      </c>
      <c r="S9" s="28">
        <f>ROUND((Q9+P9+N9)/(1-INPUT!$B$79)-(Q9+P9+N9),4)</f>
        <v>0.0366</v>
      </c>
      <c r="T9" s="127" t="e">
        <f>IF(ROUND(R9+Q9+#REF!+N9,2)&gt;(N9),ROUND(R9+Q9+#REF!+N9,2),ROUND(N9+0.01,2))</f>
        <v>#REF!</v>
      </c>
      <c r="U9" s="179">
        <f aca="true" t="shared" si="1" ref="U9:U17">IF(ROUND(S9+Q9+P9+N9,2)&gt;(N9),ROUND(S9+Q9+P9+N9,2),ROUND(N9+0.01,2))</f>
        <v>1.53</v>
      </c>
      <c r="V9" s="192">
        <v>2.54</v>
      </c>
    </row>
    <row r="10" spans="1:22" ht="14.25" thickBot="1" thickTop="1">
      <c r="A10" s="284"/>
      <c r="B10" s="287"/>
      <c r="C10" s="6" t="s">
        <v>55</v>
      </c>
      <c r="D10" s="12">
        <f>'CNTNR COST'!I8</f>
        <v>0.5315</v>
      </c>
      <c r="E10" s="11">
        <v>0</v>
      </c>
      <c r="F10" s="11">
        <f>INPUT!B64</f>
        <v>-0.0299</v>
      </c>
      <c r="G10" s="11">
        <f>G11*2</f>
        <v>0.0116</v>
      </c>
      <c r="H10" s="15">
        <f>ROUND($H$11*2,6)</f>
        <v>0</v>
      </c>
      <c r="I10" s="11">
        <f aca="true" t="shared" si="2" ref="I10:I17">ROUND(SUM(D10:H10),4)</f>
        <v>0.5132</v>
      </c>
      <c r="J10" s="11">
        <f aca="true" t="shared" si="3" ref="J10:J17">(I10/(1-$J$5))-I10</f>
        <v>0.018062939958592095</v>
      </c>
      <c r="K10" s="14">
        <f aca="true" t="shared" si="4" ref="K10:K17">ROUND(I10+J10,4)</f>
        <v>0.5313</v>
      </c>
      <c r="L10" s="11">
        <f>ROUND(L$11*2,4)</f>
        <v>-0.2496</v>
      </c>
      <c r="M10" s="11">
        <f>ROUND(M$11*2,4)</f>
        <v>0.4724</v>
      </c>
      <c r="N10" s="174">
        <f t="shared" si="0"/>
        <v>0.7541</v>
      </c>
      <c r="O10" s="188">
        <v>1.2163</v>
      </c>
      <c r="P10" s="14">
        <f>ROUND(-INPUT!$B$74*DETAIL!N10,4)</f>
        <v>-0.098</v>
      </c>
      <c r="Q10" s="14">
        <f>Q11*2</f>
        <v>0</v>
      </c>
      <c r="R10" s="14" t="e">
        <f>ROUND((Q10+#REF!+N10)/(1-INPUT!$B$79)-(Q10+#REF!+N10),4)</f>
        <v>#REF!</v>
      </c>
      <c r="S10" s="14">
        <f>ROUND((Q10+P10+N10)/(1-INPUT!$B$79)-(Q10+P10+N10),4)</f>
        <v>0.0182</v>
      </c>
      <c r="T10" s="128" t="e">
        <f>IF(ROUND(R10+Q10+#REF!+N10,2)&gt;(N10),ROUND(R10+Q10+#REF!+N10,2),ROUND(N10+0.01,2))</f>
        <v>#REF!</v>
      </c>
      <c r="U10" s="180">
        <f t="shared" si="1"/>
        <v>0.76</v>
      </c>
      <c r="V10" s="193">
        <v>1.29</v>
      </c>
    </row>
    <row r="11" spans="1:22" ht="14.25" thickBot="1" thickTop="1">
      <c r="A11" s="284"/>
      <c r="B11" s="287"/>
      <c r="C11" s="6" t="s">
        <v>14</v>
      </c>
      <c r="D11" s="12">
        <f>'CNTNR COST'!I9</f>
        <v>0.2658</v>
      </c>
      <c r="E11" s="11">
        <v>0</v>
      </c>
      <c r="F11" s="11">
        <f>INPUT!B65</f>
        <v>0.0401</v>
      </c>
      <c r="G11" s="15">
        <f>ROUND(COST_UPDATE_ADJ,4)</f>
        <v>0.0058</v>
      </c>
      <c r="H11" s="15">
        <f>Energy_Addon</f>
        <v>0</v>
      </c>
      <c r="I11" s="11">
        <f t="shared" si="2"/>
        <v>0.3117</v>
      </c>
      <c r="J11" s="11">
        <f t="shared" si="3"/>
        <v>0.010970807453416165</v>
      </c>
      <c r="K11" s="14">
        <f t="shared" si="4"/>
        <v>0.3227</v>
      </c>
      <c r="L11" s="11">
        <v>-0.1248</v>
      </c>
      <c r="M11" s="11">
        <v>0.2362</v>
      </c>
      <c r="N11" s="174">
        <f t="shared" si="0"/>
        <v>0.4341</v>
      </c>
      <c r="O11" s="188">
        <v>0.6388</v>
      </c>
      <c r="P11" s="14">
        <f>ROUND(-INPUT!$B$74*DETAIL!N11,4)</f>
        <v>-0.0564</v>
      </c>
      <c r="Q11" s="126">
        <f>INPUT!B77</f>
        <v>0</v>
      </c>
      <c r="R11" s="126" t="e">
        <f>ROUND((Q11+#REF!+N11)/(1-INPUT!$B$79)-(Q11+#REF!+N11),4)</f>
        <v>#REF!</v>
      </c>
      <c r="S11" s="126">
        <f>ROUND((Q11+P11+N11)/(1-INPUT!$B$79)-(Q11+P11+N11),4)</f>
        <v>0.0105</v>
      </c>
      <c r="T11" s="129" t="e">
        <f>IF(ROUND(R11+Q11+#REF!+N11,2)&gt;(N11),ROUND(R11+Q11+#REF!+N11,2),ROUND(N11+0.01,2))</f>
        <v>#REF!</v>
      </c>
      <c r="U11" s="180">
        <f t="shared" si="1"/>
        <v>0.44</v>
      </c>
      <c r="V11" s="193">
        <v>0.67</v>
      </c>
    </row>
    <row r="12" spans="1:22" ht="14.25" thickBot="1" thickTop="1">
      <c r="A12" s="284"/>
      <c r="B12" s="287"/>
      <c r="C12" s="6" t="s">
        <v>15</v>
      </c>
      <c r="D12" s="12">
        <f>'CNTNR COST'!I10</f>
        <v>0.1329</v>
      </c>
      <c r="E12" s="11">
        <v>0</v>
      </c>
      <c r="F12" s="11">
        <f>INPUT!B66</f>
        <v>0.0256</v>
      </c>
      <c r="G12" s="15">
        <f>ROUND($G$11/2,4)</f>
        <v>0.0029</v>
      </c>
      <c r="H12" s="15">
        <f>ROUND($H$11/2,4)</f>
        <v>0</v>
      </c>
      <c r="I12" s="11">
        <f t="shared" si="2"/>
        <v>0.1614</v>
      </c>
      <c r="J12" s="11">
        <f t="shared" si="3"/>
        <v>0.005680745341614918</v>
      </c>
      <c r="K12" s="14">
        <f t="shared" si="4"/>
        <v>0.1671</v>
      </c>
      <c r="L12" s="11">
        <f>ROUND(L$11/2,4)</f>
        <v>-0.0624</v>
      </c>
      <c r="M12" s="11">
        <f>ROUND(M$11/2,4)</f>
        <v>0.1181</v>
      </c>
      <c r="N12" s="174">
        <f t="shared" si="0"/>
        <v>0.2228</v>
      </c>
      <c r="O12" s="188">
        <v>0.3648</v>
      </c>
      <c r="P12" s="14">
        <f>ROUND(-INPUT!$B$74*DETAIL!N12,4)</f>
        <v>-0.029</v>
      </c>
      <c r="Q12" s="14">
        <f>ROUND(Q$11/2,4)</f>
        <v>0</v>
      </c>
      <c r="R12" s="14" t="e">
        <f>ROUND((Q12+#REF!+N12)/(1-INPUT!$B$79)-(Q12+#REF!+N12),4)</f>
        <v>#REF!</v>
      </c>
      <c r="S12" s="14">
        <f>ROUND((Q12+P12+N12)/(1-INPUT!$B$79)-(Q12+P12+N12),4)</f>
        <v>0.0054</v>
      </c>
      <c r="T12" s="128" t="e">
        <f>IF(ROUND(R12+Q12+#REF!+N12,2)&gt;(N12),ROUND(R12+Q12+#REF!+N12,2),ROUND(N12+0.01,2))</f>
        <v>#REF!</v>
      </c>
      <c r="U12" s="180">
        <f t="shared" si="1"/>
        <v>0.23</v>
      </c>
      <c r="V12" s="193">
        <v>0.38</v>
      </c>
    </row>
    <row r="13" spans="1:22" ht="14.25" thickBot="1" thickTop="1">
      <c r="A13" s="284"/>
      <c r="B13" s="287"/>
      <c r="C13" s="6" t="s">
        <v>190</v>
      </c>
      <c r="D13" s="12">
        <f>'CNTNR COST'!I11</f>
        <v>0.1626</v>
      </c>
      <c r="E13" s="11">
        <v>0</v>
      </c>
      <c r="F13" s="11">
        <f>INPUT!B67</f>
        <v>0</v>
      </c>
      <c r="G13" s="15">
        <f>ROUND($G$11/32*12,4)</f>
        <v>0.0022</v>
      </c>
      <c r="H13" s="15">
        <f>ROUND($H$11/32*12,4)</f>
        <v>0</v>
      </c>
      <c r="I13" s="11">
        <f t="shared" si="2"/>
        <v>0.1648</v>
      </c>
      <c r="J13" s="11">
        <f t="shared" si="3"/>
        <v>0.005800414078674959</v>
      </c>
      <c r="K13" s="14">
        <f t="shared" si="4"/>
        <v>0.1706</v>
      </c>
      <c r="L13" s="11">
        <f>ROUND(L$11/32*12,4)</f>
        <v>-0.0468</v>
      </c>
      <c r="M13" s="11">
        <f>ROUND(M$11/32*12,4)</f>
        <v>0.0886</v>
      </c>
      <c r="N13" s="174">
        <f t="shared" si="0"/>
        <v>0.2124</v>
      </c>
      <c r="O13" s="188"/>
      <c r="P13" s="14">
        <f>ROUND(-INPUT!$B$74*DETAIL!N13,4)</f>
        <v>-0.0276</v>
      </c>
      <c r="Q13" s="14">
        <f>ROUND(Q$11/32*12,4)</f>
        <v>0</v>
      </c>
      <c r="R13" s="14"/>
      <c r="S13" s="14">
        <f>ROUND((Q13+P13+N13)/(1-INPUT!$B$79)-(Q13+P13+N13),4)</f>
        <v>0.0051</v>
      </c>
      <c r="T13" s="128"/>
      <c r="U13" s="180">
        <f t="shared" si="1"/>
        <v>0.22</v>
      </c>
      <c r="V13" s="193"/>
    </row>
    <row r="14" spans="1:22" ht="14.25" thickBot="1" thickTop="1">
      <c r="A14" s="284"/>
      <c r="B14" s="287"/>
      <c r="C14" s="6" t="s">
        <v>56</v>
      </c>
      <c r="D14" s="12">
        <f>'CNTNR COST'!I12</f>
        <v>0.1418</v>
      </c>
      <c r="E14" s="11">
        <v>0</v>
      </c>
      <c r="F14" s="11">
        <f>INPUT!B68</f>
        <v>0</v>
      </c>
      <c r="G14" s="15">
        <f>ROUND($G$11/32*10,4)</f>
        <v>0.0018</v>
      </c>
      <c r="H14" s="15">
        <f>ROUND($H$11/32*10,4)</f>
        <v>0</v>
      </c>
      <c r="I14" s="11">
        <f t="shared" si="2"/>
        <v>0.1436</v>
      </c>
      <c r="J14" s="11">
        <f t="shared" si="3"/>
        <v>0.005054244306418237</v>
      </c>
      <c r="K14" s="14">
        <f t="shared" si="4"/>
        <v>0.1487</v>
      </c>
      <c r="L14" s="11">
        <f>ROUND(L$11/32*10,4)</f>
        <v>-0.039</v>
      </c>
      <c r="M14" s="11">
        <f>ROUND(M$11/32*10,4)</f>
        <v>0.0738</v>
      </c>
      <c r="N14" s="174">
        <f t="shared" si="0"/>
        <v>0.1835</v>
      </c>
      <c r="O14" s="188">
        <v>0.2432</v>
      </c>
      <c r="P14" s="14">
        <f>ROUND(-INPUT!$B$74*DETAIL!N14,4)</f>
        <v>-0.0239</v>
      </c>
      <c r="Q14" s="14">
        <f>ROUND(Q$11/32*10,4)</f>
        <v>0</v>
      </c>
      <c r="R14" s="14" t="e">
        <f>ROUND((Q14+#REF!+N14)/(1-INPUT!$B$79)-(Q14+#REF!+N14),4)</f>
        <v>#REF!</v>
      </c>
      <c r="S14" s="14">
        <f>ROUND((Q14+P14+N14)/(1-INPUT!$B$79)-(Q14+P14+N14),4)</f>
        <v>0.0044</v>
      </c>
      <c r="T14" s="128" t="e">
        <f>IF(ROUND(R14+Q14+#REF!+N14,2)&gt;(N14),ROUND(R14+Q14+#REF!+N14,2),ROUND(N14+0.01,2))</f>
        <v>#REF!</v>
      </c>
      <c r="U14" s="180">
        <f t="shared" si="1"/>
        <v>0.19</v>
      </c>
      <c r="V14" s="193">
        <v>0.25</v>
      </c>
    </row>
    <row r="15" spans="1:22" ht="14.25" thickBot="1" thickTop="1">
      <c r="A15" s="284"/>
      <c r="B15" s="287"/>
      <c r="C15" s="6" t="s">
        <v>57</v>
      </c>
      <c r="D15" s="12">
        <f>'CNTNR COST'!I13</f>
        <v>0.0665</v>
      </c>
      <c r="E15" s="11">
        <v>0</v>
      </c>
      <c r="F15" s="11">
        <f>INPUT!B69</f>
        <v>0.0146</v>
      </c>
      <c r="G15" s="15">
        <f>ROUND($G$11/4,4)</f>
        <v>0.0015</v>
      </c>
      <c r="H15" s="15">
        <f>ROUND($H$11/4,4)</f>
        <v>0</v>
      </c>
      <c r="I15" s="11">
        <f t="shared" si="2"/>
        <v>0.0826</v>
      </c>
      <c r="J15" s="11">
        <f t="shared" si="3"/>
        <v>0.002907246376811598</v>
      </c>
      <c r="K15" s="14">
        <f t="shared" si="4"/>
        <v>0.0855</v>
      </c>
      <c r="L15" s="11">
        <f>ROUND(L$11/4,4)</f>
        <v>-0.0312</v>
      </c>
      <c r="M15" s="11">
        <f>ROUND(M$11/4,4)</f>
        <v>0.0591</v>
      </c>
      <c r="N15" s="174">
        <f t="shared" si="0"/>
        <v>0.1134</v>
      </c>
      <c r="O15" s="188">
        <v>0.1794</v>
      </c>
      <c r="P15" s="14">
        <f>ROUND(-INPUT!$B$74*DETAIL!N15,4)</f>
        <v>-0.0147</v>
      </c>
      <c r="Q15" s="14">
        <f>ROUND(Q$11/4,4)</f>
        <v>0</v>
      </c>
      <c r="R15" s="14" t="e">
        <f>ROUND((Q15+#REF!+N15)/(1-INPUT!$B$79)-(Q15+#REF!+N15),4)</f>
        <v>#REF!</v>
      </c>
      <c r="S15" s="14">
        <f>ROUND((Q15+P15+N15)/(1-INPUT!$B$79)-(Q15+P15+N15),4)</f>
        <v>0.0027</v>
      </c>
      <c r="T15" s="128" t="e">
        <f>IF(ROUND(R15+Q15+#REF!+N15,2)&gt;(N15),ROUND(R15+Q15+#REF!+N15,2),ROUND(N15+0.01,2))</f>
        <v>#REF!</v>
      </c>
      <c r="U15" s="180">
        <f t="shared" si="1"/>
        <v>0.12</v>
      </c>
      <c r="V15" s="193">
        <v>0.19</v>
      </c>
    </row>
    <row r="16" spans="1:22" ht="14.25" thickBot="1" thickTop="1">
      <c r="A16" s="284"/>
      <c r="B16" s="287"/>
      <c r="C16" s="6" t="s">
        <v>58</v>
      </c>
      <c r="D16" s="12">
        <f>'CNTNR COST'!I14</f>
        <v>0.0527</v>
      </c>
      <c r="E16" s="11">
        <v>0</v>
      </c>
      <c r="F16" s="11">
        <f>INPUT!B70</f>
        <v>0.0181</v>
      </c>
      <c r="G16" s="15">
        <f>ROUND($G$11/8,4)</f>
        <v>0.0007</v>
      </c>
      <c r="H16" s="15">
        <f>ROUND($H$11/8,4)</f>
        <v>0</v>
      </c>
      <c r="I16" s="11">
        <f t="shared" si="2"/>
        <v>0.0715</v>
      </c>
      <c r="J16" s="11">
        <f t="shared" si="3"/>
        <v>0.002516563146997927</v>
      </c>
      <c r="K16" s="14">
        <f t="shared" si="4"/>
        <v>0.074</v>
      </c>
      <c r="L16" s="11">
        <f>ROUND(L$11/8,4)</f>
        <v>-0.0156</v>
      </c>
      <c r="M16" s="11">
        <f>ROUND(M$11/8,4)</f>
        <v>0.0295</v>
      </c>
      <c r="N16" s="174">
        <f t="shared" si="0"/>
        <v>0.0879</v>
      </c>
      <c r="O16" s="188">
        <v>0.1202</v>
      </c>
      <c r="P16" s="14">
        <f>ROUND(-INPUT!$B$74*DETAIL!N16,4)</f>
        <v>-0.0114</v>
      </c>
      <c r="Q16" s="14">
        <f>ROUND(Q$11/8,4)</f>
        <v>0</v>
      </c>
      <c r="R16" s="14" t="e">
        <f>ROUND((Q16+#REF!+N16)/(1-INPUT!$B$79)-(Q16+#REF!+N16),4)</f>
        <v>#REF!</v>
      </c>
      <c r="S16" s="14">
        <f>ROUND((Q16+P16+N16)/(1-INPUT!$B$79)-(Q16+P16+N16),4)</f>
        <v>0.0021</v>
      </c>
      <c r="T16" s="128" t="e">
        <f>IF(ROUND(R16+Q16+#REF!+N16,2)&gt;(N16),ROUND(R16+Q16+#REF!+N16,2),ROUND(N16+0.01,2))</f>
        <v>#REF!</v>
      </c>
      <c r="U16" s="180">
        <f t="shared" si="1"/>
        <v>0.1</v>
      </c>
      <c r="V16" s="193">
        <v>0.13</v>
      </c>
    </row>
    <row r="17" spans="1:22" ht="14.25" thickBot="1" thickTop="1">
      <c r="A17" s="285"/>
      <c r="B17" s="288"/>
      <c r="C17" s="6" t="s">
        <v>78</v>
      </c>
      <c r="D17" s="23">
        <f>'CNTNR COST'!I15</f>
        <v>0.3032</v>
      </c>
      <c r="E17" s="24">
        <v>0</v>
      </c>
      <c r="F17" s="24">
        <f>INPUT!B71</f>
        <v>0.0217</v>
      </c>
      <c r="G17" s="27">
        <f>ROUND($G$11,4)</f>
        <v>0.0058</v>
      </c>
      <c r="H17" s="27">
        <f>ROUND($H$11,4)</f>
        <v>0</v>
      </c>
      <c r="I17" s="24">
        <f t="shared" si="2"/>
        <v>0.3307</v>
      </c>
      <c r="J17" s="24">
        <f t="shared" si="3"/>
        <v>0.011639544513457556</v>
      </c>
      <c r="K17" s="29">
        <f t="shared" si="4"/>
        <v>0.3423</v>
      </c>
      <c r="L17" s="24">
        <f>L$11</f>
        <v>-0.1248</v>
      </c>
      <c r="M17" s="24">
        <f>M$11</f>
        <v>0.2362</v>
      </c>
      <c r="N17" s="175">
        <f t="shared" si="0"/>
        <v>0.4537</v>
      </c>
      <c r="O17" s="189">
        <v>0.6372</v>
      </c>
      <c r="P17" s="29">
        <f>ROUND(-INPUT!$B$74*DETAIL!N17,4)</f>
        <v>-0.059</v>
      </c>
      <c r="Q17" s="29">
        <f>Q$11</f>
        <v>0</v>
      </c>
      <c r="R17" s="29" t="e">
        <f>ROUND((Q17+#REF!+N17)/(1-INPUT!$B$79)-(Q17+#REF!+N17),4)</f>
        <v>#REF!</v>
      </c>
      <c r="S17" s="29">
        <f>ROUND((Q17+P17+N17)/(1-INPUT!$B$79)-(Q17+P17+N17),4)</f>
        <v>0.011</v>
      </c>
      <c r="T17" s="130" t="e">
        <f>IF(ROUND(R17+Q17+#REF!+N17,2)&gt;(N17),ROUND(R17+Q17+#REF!+N17,2),ROUND(N17+0.01,2))</f>
        <v>#REF!</v>
      </c>
      <c r="U17" s="181">
        <f t="shared" si="1"/>
        <v>0.46</v>
      </c>
      <c r="V17" s="194">
        <v>0.67</v>
      </c>
    </row>
    <row r="18" spans="3:22" ht="14.25" thickBot="1" thickTop="1">
      <c r="C18" s="168"/>
      <c r="K18" s="30"/>
      <c r="N18" s="154"/>
      <c r="O18" s="190"/>
      <c r="P18" s="154"/>
      <c r="Q18" s="154"/>
      <c r="R18" s="154"/>
      <c r="S18" s="154"/>
      <c r="T18" s="153"/>
      <c r="V18" s="195"/>
    </row>
    <row r="19" spans="1:22" ht="14.25" thickBot="1" thickTop="1">
      <c r="A19" s="283" t="s">
        <v>172</v>
      </c>
      <c r="B19" s="286" t="s">
        <v>171</v>
      </c>
      <c r="C19" s="6" t="s">
        <v>12</v>
      </c>
      <c r="D19" s="22">
        <f>'CNTNR COST'!I17</f>
        <v>1.0639</v>
      </c>
      <c r="E19" s="10">
        <v>0</v>
      </c>
      <c r="F19" s="10">
        <f>+$F$9</f>
        <v>-0.0532</v>
      </c>
      <c r="G19" s="10">
        <f>G21*4</f>
        <v>0.0232</v>
      </c>
      <c r="H19" s="26">
        <f>ROUND($H$11*4,6)</f>
        <v>0</v>
      </c>
      <c r="I19" s="10">
        <f>ROUND(SUM(D19:H19),4)</f>
        <v>1.0339</v>
      </c>
      <c r="J19" s="10">
        <f>(I19/(1-$J$5))-I19</f>
        <v>0.03638985507246373</v>
      </c>
      <c r="K19" s="28">
        <f>ROUND(I19+J19,4)</f>
        <v>1.0703</v>
      </c>
      <c r="L19" s="10">
        <f>ROUND(L$11*4,4)</f>
        <v>-0.4992</v>
      </c>
      <c r="M19" s="10">
        <f>ROUND(M$11*4,4)</f>
        <v>0.9448</v>
      </c>
      <c r="N19" s="173">
        <f aca="true" t="shared" si="5" ref="N19:N27">ROUND(SUM(K19:M19),4)</f>
        <v>1.5159</v>
      </c>
      <c r="O19" s="187">
        <v>2.2964</v>
      </c>
      <c r="P19" s="28">
        <f>ROUND(-INPUT!$B$74*DETAIL!N19,4)</f>
        <v>-0.1971</v>
      </c>
      <c r="Q19" s="28">
        <f>Q$9</f>
        <v>0</v>
      </c>
      <c r="R19" s="28" t="e">
        <f>ROUND((Q19+#REF!+N19)/(1-INPUT!$B$79)-(Q19+#REF!+N19),4)</f>
        <v>#REF!</v>
      </c>
      <c r="S19" s="28">
        <f>ROUND((Q19+P19+N19)/(1-INPUT!$B$79)-(Q19+P19+N19),4)</f>
        <v>0.0366</v>
      </c>
      <c r="T19" s="127" t="e">
        <f>IF(ROUND(R19+Q19+#REF!+N19,2)&gt;(N19),ROUND(R19+Q19+#REF!+N19,2),ROUND(N19+0.01,2))</f>
        <v>#REF!</v>
      </c>
      <c r="U19" s="179">
        <f aca="true" t="shared" si="6" ref="U19:U27">IF(ROUND(S19+Q19+P19+N19,2)&gt;(N19),ROUND(S19+Q19+P19+N19,2),ROUND(N19+0.01,2))</f>
        <v>1.53</v>
      </c>
      <c r="V19" s="196">
        <v>2.45</v>
      </c>
    </row>
    <row r="20" spans="1:22" ht="14.25" thickBot="1" thickTop="1">
      <c r="A20" s="284"/>
      <c r="B20" s="287"/>
      <c r="C20" s="6" t="s">
        <v>55</v>
      </c>
      <c r="D20" s="12">
        <f>'CNTNR COST'!I18</f>
        <v>0.532</v>
      </c>
      <c r="E20" s="11">
        <v>0</v>
      </c>
      <c r="F20" s="11">
        <f>+$F$10</f>
        <v>-0.0299</v>
      </c>
      <c r="G20" s="11">
        <f>G21*2</f>
        <v>0.0116</v>
      </c>
      <c r="H20" s="15">
        <f>ROUND($H$11*2,6)</f>
        <v>0</v>
      </c>
      <c r="I20" s="11">
        <f aca="true" t="shared" si="7" ref="I20:I27">ROUND(SUM(D20:H20),4)</f>
        <v>0.5137</v>
      </c>
      <c r="J20" s="11">
        <f aca="true" t="shared" si="8" ref="J20:J27">(I20/(1-$J$5))-I20</f>
        <v>0.018080538302277405</v>
      </c>
      <c r="K20" s="14">
        <f aca="true" t="shared" si="9" ref="K20:K27">ROUND(I20+J20,4)</f>
        <v>0.5318</v>
      </c>
      <c r="L20" s="11">
        <f>ROUND(L$11*2,4)</f>
        <v>-0.2496</v>
      </c>
      <c r="M20" s="11">
        <f>ROUND(M$11*2,4)</f>
        <v>0.4724</v>
      </c>
      <c r="N20" s="174">
        <f t="shared" si="5"/>
        <v>0.7546</v>
      </c>
      <c r="O20" s="188">
        <v>1.164</v>
      </c>
      <c r="P20" s="14">
        <f>ROUND(-INPUT!$B$74*DETAIL!N20,4)</f>
        <v>-0.0981</v>
      </c>
      <c r="Q20" s="14">
        <f>Q$10</f>
        <v>0</v>
      </c>
      <c r="R20" s="14" t="e">
        <f>ROUND((Q20+#REF!+N20)/(1-INPUT!$B$79)-(Q20+#REF!+N20),4)</f>
        <v>#REF!</v>
      </c>
      <c r="S20" s="14">
        <f>ROUND((Q20+P20+N20)/(1-INPUT!$B$79)-(Q20+P20+N20),4)</f>
        <v>0.0182</v>
      </c>
      <c r="T20" s="128" t="e">
        <f>IF(ROUND(R20+Q20+#REF!+N20,2)&gt;(N20),ROUND(R20+Q20+#REF!+N20,2),ROUND(N20+0.01,2))</f>
        <v>#REF!</v>
      </c>
      <c r="U20" s="180">
        <f t="shared" si="6"/>
        <v>0.76</v>
      </c>
      <c r="V20" s="197">
        <v>1.24</v>
      </c>
    </row>
    <row r="21" spans="1:22" ht="14.25" thickBot="1" thickTop="1">
      <c r="A21" s="284"/>
      <c r="B21" s="287"/>
      <c r="C21" s="6" t="s">
        <v>14</v>
      </c>
      <c r="D21" s="12">
        <f>'CNTNR COST'!I19</f>
        <v>0.266</v>
      </c>
      <c r="E21" s="11">
        <v>0</v>
      </c>
      <c r="F21" s="11">
        <f>+$F$11</f>
        <v>0.0401</v>
      </c>
      <c r="G21" s="15">
        <f>ROUND(COST_UPDATE_ADJ,4)</f>
        <v>0.0058</v>
      </c>
      <c r="H21" s="15">
        <f>Energy_Addon</f>
        <v>0</v>
      </c>
      <c r="I21" s="11">
        <f t="shared" si="7"/>
        <v>0.3119</v>
      </c>
      <c r="J21" s="11">
        <f t="shared" si="8"/>
        <v>0.010977846790890256</v>
      </c>
      <c r="K21" s="14">
        <f t="shared" si="9"/>
        <v>0.3229</v>
      </c>
      <c r="L21" s="11">
        <f>$L$11</f>
        <v>-0.1248</v>
      </c>
      <c r="M21" s="11">
        <f>$M$11</f>
        <v>0.2362</v>
      </c>
      <c r="N21" s="174">
        <f t="shared" si="5"/>
        <v>0.4343</v>
      </c>
      <c r="O21" s="188">
        <v>0.6125</v>
      </c>
      <c r="P21" s="14">
        <f>ROUND(-INPUT!$B$74*DETAIL!N21,4)</f>
        <v>-0.0565</v>
      </c>
      <c r="Q21" s="14">
        <f>Q$11</f>
        <v>0</v>
      </c>
      <c r="R21" s="126" t="e">
        <f>ROUND((Q21+#REF!+N21)/(1-INPUT!$B$79)-(Q21+#REF!+N21),4)</f>
        <v>#REF!</v>
      </c>
      <c r="S21" s="126">
        <f>ROUND((Q21+P21+N21)/(1-INPUT!$B$79)-(Q21+P21+N21),4)</f>
        <v>0.0105</v>
      </c>
      <c r="T21" s="129" t="e">
        <f>IF(ROUND(R21+Q21+#REF!+N21,2)&gt;(N21),ROUND(R21+Q21+#REF!+N21,2),ROUND(N21+0.01,2))</f>
        <v>#REF!</v>
      </c>
      <c r="U21" s="180">
        <f t="shared" si="6"/>
        <v>0.44</v>
      </c>
      <c r="V21" s="197">
        <v>0.65</v>
      </c>
    </row>
    <row r="22" spans="1:22" ht="14.25" thickBot="1" thickTop="1">
      <c r="A22" s="284"/>
      <c r="B22" s="287"/>
      <c r="C22" s="6" t="s">
        <v>15</v>
      </c>
      <c r="D22" s="12">
        <f>'CNTNR COST'!I20</f>
        <v>0.133</v>
      </c>
      <c r="E22" s="11">
        <v>0</v>
      </c>
      <c r="F22" s="11">
        <f>+$F$12</f>
        <v>0.0256</v>
      </c>
      <c r="G22" s="15">
        <f>ROUND($G$11/2,4)</f>
        <v>0.0029</v>
      </c>
      <c r="H22" s="15">
        <f>ROUND($H$11/2,4)</f>
        <v>0</v>
      </c>
      <c r="I22" s="11">
        <f t="shared" si="7"/>
        <v>0.1615</v>
      </c>
      <c r="J22" s="11">
        <f t="shared" si="8"/>
        <v>0.005684265010351963</v>
      </c>
      <c r="K22" s="14">
        <f t="shared" si="9"/>
        <v>0.1672</v>
      </c>
      <c r="L22" s="11">
        <f>ROUND(L$11/2,4)</f>
        <v>-0.0624</v>
      </c>
      <c r="M22" s="11">
        <f>ROUND(M$11/2,4)</f>
        <v>0.1181</v>
      </c>
      <c r="N22" s="174">
        <f t="shared" si="5"/>
        <v>0.2229</v>
      </c>
      <c r="O22" s="188">
        <v>0.3517</v>
      </c>
      <c r="P22" s="14">
        <f>ROUND(-INPUT!$B$74*DETAIL!N22,4)</f>
        <v>-0.029</v>
      </c>
      <c r="Q22" s="14">
        <f>Q$12</f>
        <v>0</v>
      </c>
      <c r="R22" s="14" t="e">
        <f>ROUND((Q22+#REF!+N22)/(1-INPUT!$B$79)-(Q22+#REF!+N22),4)</f>
        <v>#REF!</v>
      </c>
      <c r="S22" s="14">
        <f>ROUND((Q22+P22+N22)/(1-INPUT!$B$79)-(Q22+P22+N22),4)</f>
        <v>0.0054</v>
      </c>
      <c r="T22" s="128" t="e">
        <f>IF(ROUND(R22+Q22+#REF!+N22,2)&gt;(N22),ROUND(R22+Q22+#REF!+N22,2),ROUND(N22+0.01,2))</f>
        <v>#REF!</v>
      </c>
      <c r="U22" s="180">
        <f t="shared" si="6"/>
        <v>0.23</v>
      </c>
      <c r="V22" s="197">
        <v>0.36</v>
      </c>
    </row>
    <row r="23" spans="1:22" ht="14.25" thickBot="1" thickTop="1">
      <c r="A23" s="284"/>
      <c r="B23" s="287"/>
      <c r="C23" s="6" t="s">
        <v>190</v>
      </c>
      <c r="D23" s="12">
        <f>'CNTNR COST'!I21</f>
        <v>0.1627</v>
      </c>
      <c r="E23" s="11">
        <v>0</v>
      </c>
      <c r="F23" s="11">
        <f>+$F$13</f>
        <v>0</v>
      </c>
      <c r="G23" s="15">
        <f>ROUND($G$11/32*12,4)</f>
        <v>0.0022</v>
      </c>
      <c r="H23" s="15">
        <f>ROUND($H$11/32*12,4)</f>
        <v>0</v>
      </c>
      <c r="I23" s="11">
        <f t="shared" si="7"/>
        <v>0.1649</v>
      </c>
      <c r="J23" s="11">
        <f t="shared" si="8"/>
        <v>0.0058039337474120045</v>
      </c>
      <c r="K23" s="14">
        <f t="shared" si="9"/>
        <v>0.1707</v>
      </c>
      <c r="L23" s="11">
        <f>ROUND(L$11/32*12,4)</f>
        <v>-0.0468</v>
      </c>
      <c r="M23" s="11">
        <f>ROUND(M$11/32*12,4)</f>
        <v>0.0886</v>
      </c>
      <c r="N23" s="174">
        <f t="shared" si="5"/>
        <v>0.2125</v>
      </c>
      <c r="O23" s="188"/>
      <c r="P23" s="14">
        <f>ROUND(-INPUT!$B$74*DETAIL!N23,4)</f>
        <v>-0.0276</v>
      </c>
      <c r="Q23" s="14">
        <f>ROUND(Q$11/32*12,4)</f>
        <v>0</v>
      </c>
      <c r="R23" s="14"/>
      <c r="S23" s="14">
        <f>ROUND((Q23+P23+N23)/(1-INPUT!$B$79)-(Q23+P23+N23),4)</f>
        <v>0.0051</v>
      </c>
      <c r="T23" s="128"/>
      <c r="U23" s="180">
        <f t="shared" si="6"/>
        <v>0.22</v>
      </c>
      <c r="V23" s="197"/>
    </row>
    <row r="24" spans="1:22" ht="14.25" thickBot="1" thickTop="1">
      <c r="A24" s="284"/>
      <c r="B24" s="287"/>
      <c r="C24" s="6" t="s">
        <v>56</v>
      </c>
      <c r="D24" s="12">
        <f>'CNTNR COST'!I22</f>
        <v>0.1418</v>
      </c>
      <c r="E24" s="11">
        <v>0</v>
      </c>
      <c r="F24" s="11">
        <f>+$F$14</f>
        <v>0</v>
      </c>
      <c r="G24" s="15">
        <f>ROUND($G$11/32*10,4)</f>
        <v>0.0018</v>
      </c>
      <c r="H24" s="15">
        <f>ROUND($H$11/32*10,4)</f>
        <v>0</v>
      </c>
      <c r="I24" s="11">
        <f t="shared" si="7"/>
        <v>0.1436</v>
      </c>
      <c r="J24" s="11">
        <f t="shared" si="8"/>
        <v>0.005054244306418237</v>
      </c>
      <c r="K24" s="14">
        <f t="shared" si="9"/>
        <v>0.1487</v>
      </c>
      <c r="L24" s="11">
        <f>ROUND(L$11/32*10,4)</f>
        <v>-0.039</v>
      </c>
      <c r="M24" s="11">
        <f>ROUND(M$11/32*10,4)</f>
        <v>0.0738</v>
      </c>
      <c r="N24" s="174">
        <f t="shared" si="5"/>
        <v>0.1835</v>
      </c>
      <c r="O24" s="188">
        <v>0.235</v>
      </c>
      <c r="P24" s="14">
        <f>ROUND(-INPUT!$B$74*DETAIL!N24,4)</f>
        <v>-0.0239</v>
      </c>
      <c r="Q24" s="14">
        <f>Q$14</f>
        <v>0</v>
      </c>
      <c r="R24" s="14" t="e">
        <f>ROUND((Q24+#REF!+N24)/(1-INPUT!$B$79)-(Q24+#REF!+N24),4)</f>
        <v>#REF!</v>
      </c>
      <c r="S24" s="14">
        <f>ROUND((Q24+P24+N24)/(1-INPUT!$B$79)-(Q24+P24+N24),4)</f>
        <v>0.0044</v>
      </c>
      <c r="T24" s="128" t="e">
        <f>IF(ROUND(R24+Q24+#REF!+N24,2)&gt;(N24),ROUND(R24+Q24+#REF!+N24,2),ROUND(N24+0.01,2))</f>
        <v>#REF!</v>
      </c>
      <c r="U24" s="180">
        <f t="shared" si="6"/>
        <v>0.19</v>
      </c>
      <c r="V24" s="197">
        <v>0.24</v>
      </c>
    </row>
    <row r="25" spans="1:22" ht="14.25" thickBot="1" thickTop="1">
      <c r="A25" s="284"/>
      <c r="B25" s="287"/>
      <c r="C25" s="6" t="s">
        <v>57</v>
      </c>
      <c r="D25" s="12">
        <f>'CNTNR COST'!I23</f>
        <v>0.0665</v>
      </c>
      <c r="E25" s="11">
        <v>0</v>
      </c>
      <c r="F25" s="11">
        <f>+$F$15</f>
        <v>0.0146</v>
      </c>
      <c r="G25" s="15">
        <f>ROUND($G$11/4,4)</f>
        <v>0.0015</v>
      </c>
      <c r="H25" s="15">
        <f>ROUND($H$11/4,4)</f>
        <v>0</v>
      </c>
      <c r="I25" s="11">
        <f t="shared" si="7"/>
        <v>0.0826</v>
      </c>
      <c r="J25" s="11">
        <f t="shared" si="8"/>
        <v>0.002907246376811598</v>
      </c>
      <c r="K25" s="14">
        <f t="shared" si="9"/>
        <v>0.0855</v>
      </c>
      <c r="L25" s="11">
        <f>ROUND(L$11/4,4)</f>
        <v>-0.0312</v>
      </c>
      <c r="M25" s="11">
        <f>ROUND(M$11/4,4)</f>
        <v>0.0591</v>
      </c>
      <c r="N25" s="174">
        <f t="shared" si="5"/>
        <v>0.1134</v>
      </c>
      <c r="O25" s="188">
        <v>0.1729</v>
      </c>
      <c r="P25" s="14">
        <f>ROUND(-INPUT!$B$74*DETAIL!N25,4)</f>
        <v>-0.0147</v>
      </c>
      <c r="Q25" s="14">
        <f>Q$15</f>
        <v>0</v>
      </c>
      <c r="R25" s="14" t="e">
        <f>ROUND((Q25+#REF!+N25)/(1-INPUT!$B$79)-(Q25+#REF!+N25),4)</f>
        <v>#REF!</v>
      </c>
      <c r="S25" s="14">
        <f>ROUND((Q25+P25+N25)/(1-INPUT!$B$79)-(Q25+P25+N25),4)</f>
        <v>0.0027</v>
      </c>
      <c r="T25" s="128" t="e">
        <f>IF(ROUND(R25+Q25+#REF!+N25,2)&gt;(N25),ROUND(R25+Q25+#REF!+N25,2),ROUND(N25+0.01,2))</f>
        <v>#REF!</v>
      </c>
      <c r="U25" s="180">
        <f t="shared" si="6"/>
        <v>0.12</v>
      </c>
      <c r="V25" s="197">
        <v>0.18</v>
      </c>
    </row>
    <row r="26" spans="1:22" ht="14.25" thickBot="1" thickTop="1">
      <c r="A26" s="284"/>
      <c r="B26" s="287"/>
      <c r="C26" s="6" t="s">
        <v>58</v>
      </c>
      <c r="D26" s="12">
        <f>'CNTNR COST'!I24</f>
        <v>0.0528</v>
      </c>
      <c r="E26" s="11">
        <v>0</v>
      </c>
      <c r="F26" s="11">
        <f>+$F$16</f>
        <v>0.0181</v>
      </c>
      <c r="G26" s="15">
        <f>ROUND($G$11/8,4)</f>
        <v>0.0007</v>
      </c>
      <c r="H26" s="15">
        <f>ROUND($H$11/8,4)</f>
        <v>0</v>
      </c>
      <c r="I26" s="11">
        <f t="shared" si="7"/>
        <v>0.0716</v>
      </c>
      <c r="J26" s="11">
        <f t="shared" si="8"/>
        <v>0.0025200828157349864</v>
      </c>
      <c r="K26" s="14">
        <f t="shared" si="9"/>
        <v>0.0741</v>
      </c>
      <c r="L26" s="11">
        <f>ROUND(L$11/8,4)</f>
        <v>-0.0156</v>
      </c>
      <c r="M26" s="11">
        <f>ROUND(M$11/8,4)</f>
        <v>0.0295</v>
      </c>
      <c r="N26" s="174">
        <f t="shared" si="5"/>
        <v>0.088</v>
      </c>
      <c r="O26" s="188">
        <v>0.117</v>
      </c>
      <c r="P26" s="14">
        <f>ROUND(-INPUT!$B$74*DETAIL!N26,4)</f>
        <v>-0.0114</v>
      </c>
      <c r="Q26" s="14">
        <f>Q$16</f>
        <v>0</v>
      </c>
      <c r="R26" s="14" t="e">
        <f>ROUND((Q26+#REF!+N26)/(1-INPUT!$B$79)-(Q26+#REF!+N26),4)</f>
        <v>#REF!</v>
      </c>
      <c r="S26" s="14">
        <f>ROUND((Q26+P26+N26)/(1-INPUT!$B$79)-(Q26+P26+N26),4)</f>
        <v>0.0021</v>
      </c>
      <c r="T26" s="128" t="e">
        <f>IF(ROUND(R26+Q26+#REF!+N26,2)&gt;(N26),ROUND(R26+Q26+#REF!+N26,2),ROUND(N26+0.01,2))</f>
        <v>#REF!</v>
      </c>
      <c r="U26" s="180">
        <f t="shared" si="6"/>
        <v>0.1</v>
      </c>
      <c r="V26" s="197">
        <v>0.12</v>
      </c>
    </row>
    <row r="27" spans="1:22" ht="14.25" thickBot="1" thickTop="1">
      <c r="A27" s="285"/>
      <c r="B27" s="288"/>
      <c r="C27" s="6" t="s">
        <v>78</v>
      </c>
      <c r="D27" s="23">
        <f>'CNTNR COST'!I25</f>
        <v>0.3034</v>
      </c>
      <c r="E27" s="24">
        <v>0</v>
      </c>
      <c r="F27" s="24">
        <f>+$F$17</f>
        <v>0.0217</v>
      </c>
      <c r="G27" s="27">
        <f>ROUND($G$11,4)</f>
        <v>0.0058</v>
      </c>
      <c r="H27" s="27">
        <f>ROUND($H$11,4)</f>
        <v>0</v>
      </c>
      <c r="I27" s="24">
        <f t="shared" si="7"/>
        <v>0.3309</v>
      </c>
      <c r="J27" s="24">
        <f t="shared" si="8"/>
        <v>0.011646583850931702</v>
      </c>
      <c r="K27" s="29">
        <f t="shared" si="9"/>
        <v>0.3425</v>
      </c>
      <c r="L27" s="24">
        <f>L$11</f>
        <v>-0.1248</v>
      </c>
      <c r="M27" s="24">
        <f>M$11</f>
        <v>0.2362</v>
      </c>
      <c r="N27" s="175">
        <f t="shared" si="5"/>
        <v>0.4539</v>
      </c>
      <c r="O27" s="189">
        <v>0.6109</v>
      </c>
      <c r="P27" s="29">
        <f>ROUND(-INPUT!$B$74*DETAIL!N27,4)</f>
        <v>-0.059</v>
      </c>
      <c r="Q27" s="29">
        <f>Q$17</f>
        <v>0</v>
      </c>
      <c r="R27" s="29" t="e">
        <f>ROUND((Q27+#REF!+N27)/(1-INPUT!$B$79)-(Q27+#REF!+N27),4)</f>
        <v>#REF!</v>
      </c>
      <c r="S27" s="29">
        <f>ROUND((Q27+P27+N27)/(1-INPUT!$B$79)-(Q27+P27+N27),4)</f>
        <v>0.011</v>
      </c>
      <c r="T27" s="130" t="e">
        <f>IF(ROUND(R27+Q27+#REF!+N27,2)&gt;(N27),ROUND(R27+Q27+#REF!+N27,2),ROUND(N27+0.01,2))</f>
        <v>#REF!</v>
      </c>
      <c r="U27" s="181">
        <f t="shared" si="6"/>
        <v>0.46</v>
      </c>
      <c r="V27" s="198">
        <v>0.65</v>
      </c>
    </row>
    <row r="28" spans="3:22" ht="14.25" thickBot="1" thickTop="1">
      <c r="C28" s="168"/>
      <c r="K28" s="30"/>
      <c r="N28" s="154"/>
      <c r="O28" s="190"/>
      <c r="P28" s="154"/>
      <c r="Q28" s="154"/>
      <c r="R28" s="154"/>
      <c r="S28" s="154"/>
      <c r="T28" s="153"/>
      <c r="V28" s="195"/>
    </row>
    <row r="29" spans="1:22" ht="14.25" thickBot="1" thickTop="1">
      <c r="A29" s="283" t="s">
        <v>173</v>
      </c>
      <c r="B29" s="286" t="s">
        <v>171</v>
      </c>
      <c r="C29" s="6" t="s">
        <v>12</v>
      </c>
      <c r="D29" s="22">
        <f>'CNTNR COST'!I27</f>
        <v>1.0648</v>
      </c>
      <c r="E29" s="10">
        <v>0</v>
      </c>
      <c r="F29" s="10">
        <f>+$F$9</f>
        <v>-0.0532</v>
      </c>
      <c r="G29" s="10">
        <f>G31*4</f>
        <v>0.0232</v>
      </c>
      <c r="H29" s="26">
        <f>ROUND($H$11*4,6)</f>
        <v>0</v>
      </c>
      <c r="I29" s="10">
        <f>ROUND(SUM(D29:H29),4)</f>
        <v>1.0348</v>
      </c>
      <c r="J29" s="10">
        <f>(I29/(1-$J$5))-I29</f>
        <v>0.03642153209109744</v>
      </c>
      <c r="K29" s="28">
        <f>ROUND(I29+J29,4)</f>
        <v>1.0712</v>
      </c>
      <c r="L29" s="10">
        <f>ROUND(L$11*4,4)</f>
        <v>-0.4992</v>
      </c>
      <c r="M29" s="10">
        <f>ROUND(M$11*4,4)</f>
        <v>0.9448</v>
      </c>
      <c r="N29" s="173">
        <f aca="true" t="shared" si="10" ref="N29:N37">ROUND(SUM(K29:M29),4)</f>
        <v>1.5168</v>
      </c>
      <c r="O29" s="187">
        <v>2.2117</v>
      </c>
      <c r="P29" s="28">
        <f>ROUND(-INPUT!$B$74*DETAIL!N29,4)</f>
        <v>-0.1972</v>
      </c>
      <c r="Q29" s="28">
        <f>Q$9</f>
        <v>0</v>
      </c>
      <c r="R29" s="28" t="e">
        <f>ROUND((Q29+#REF!+N29)/(1-INPUT!$B$79)-(Q29+#REF!+N29),4)</f>
        <v>#REF!</v>
      </c>
      <c r="S29" s="28">
        <f>ROUND((Q29+P29+N29)/(1-INPUT!$B$79)-(Q29+P29+N29),4)</f>
        <v>0.0366</v>
      </c>
      <c r="T29" s="127" t="e">
        <f>IF(ROUND(R29+Q29+#REF!+N29,2)&gt;(N29),ROUND(R29+Q29+#REF!+N29,2),ROUND(N29+0.01,2))</f>
        <v>#REF!</v>
      </c>
      <c r="U29" s="179">
        <f aca="true" t="shared" si="11" ref="U29:U37">IF(ROUND(S29+Q29+P29+N29,2)&gt;(N29),ROUND(S29+Q29+P29+N29,2),ROUND(N29+0.01,2))</f>
        <v>1.53</v>
      </c>
      <c r="V29" s="196">
        <v>2.37</v>
      </c>
    </row>
    <row r="30" spans="1:22" ht="14.25" thickBot="1" thickTop="1">
      <c r="A30" s="284"/>
      <c r="B30" s="287"/>
      <c r="C30" s="6" t="s">
        <v>55</v>
      </c>
      <c r="D30" s="12">
        <f>'CNTNR COST'!I28</f>
        <v>0.5324</v>
      </c>
      <c r="E30" s="11">
        <v>0</v>
      </c>
      <c r="F30" s="11">
        <f>+$F$10</f>
        <v>-0.0299</v>
      </c>
      <c r="G30" s="11">
        <f>G31*2</f>
        <v>0.0116</v>
      </c>
      <c r="H30" s="15">
        <f>ROUND($H$11*2,6)</f>
        <v>0</v>
      </c>
      <c r="I30" s="11">
        <f aca="true" t="shared" si="12" ref="I30:I37">ROUND(SUM(D30:H30),4)</f>
        <v>0.5141</v>
      </c>
      <c r="J30" s="11">
        <f aca="true" t="shared" si="13" ref="J30:J37">(I30/(1-$J$5))-I30</f>
        <v>0.018094616977225697</v>
      </c>
      <c r="K30" s="14">
        <f aca="true" t="shared" si="14" ref="K30:K37">ROUND(I30+J30,4)</f>
        <v>0.5322</v>
      </c>
      <c r="L30" s="11">
        <f>ROUND(L$11*2,4)</f>
        <v>-0.2496</v>
      </c>
      <c r="M30" s="11">
        <f>ROUND(M$11*2,4)</f>
        <v>0.4724</v>
      </c>
      <c r="N30" s="174">
        <f t="shared" si="10"/>
        <v>0.755</v>
      </c>
      <c r="O30" s="188">
        <v>1.1216</v>
      </c>
      <c r="P30" s="14">
        <f>ROUND(-INPUT!$B$74*DETAIL!N30,4)</f>
        <v>-0.0982</v>
      </c>
      <c r="Q30" s="14">
        <f>Q$10</f>
        <v>0</v>
      </c>
      <c r="R30" s="14" t="e">
        <f>ROUND((Q30+#REF!+N30)/(1-INPUT!$B$79)-(Q30+#REF!+N30),4)</f>
        <v>#REF!</v>
      </c>
      <c r="S30" s="14">
        <f>ROUND((Q30+P30+N30)/(1-INPUT!$B$79)-(Q30+P30+N30),4)</f>
        <v>0.0182</v>
      </c>
      <c r="T30" s="128" t="e">
        <f>IF(ROUND(R30+Q30+#REF!+N30,2)&gt;(N30),ROUND(R30+Q30+#REF!+N30,2),ROUND(N30+0.01,2))</f>
        <v>#REF!</v>
      </c>
      <c r="U30" s="180">
        <f t="shared" si="11"/>
        <v>0.77</v>
      </c>
      <c r="V30" s="197">
        <v>1.2</v>
      </c>
    </row>
    <row r="31" spans="1:22" ht="14.25" thickBot="1" thickTop="1">
      <c r="A31" s="284"/>
      <c r="B31" s="287"/>
      <c r="C31" s="6" t="s">
        <v>14</v>
      </c>
      <c r="D31" s="12">
        <f>'CNTNR COST'!I29</f>
        <v>0.2662</v>
      </c>
      <c r="E31" s="11">
        <v>0</v>
      </c>
      <c r="F31" s="11">
        <f>+$F$11</f>
        <v>0.0401</v>
      </c>
      <c r="G31" s="15">
        <f>ROUND(COST_UPDATE_ADJ,4)</f>
        <v>0.0058</v>
      </c>
      <c r="H31" s="15">
        <f>Energy_Addon</f>
        <v>0</v>
      </c>
      <c r="I31" s="11">
        <f t="shared" si="12"/>
        <v>0.3121</v>
      </c>
      <c r="J31" s="11">
        <f t="shared" si="13"/>
        <v>0.010984886128364402</v>
      </c>
      <c r="K31" s="14">
        <f t="shared" si="14"/>
        <v>0.3231</v>
      </c>
      <c r="L31" s="11">
        <f>$L$11</f>
        <v>-0.1248</v>
      </c>
      <c r="M31" s="11">
        <f>$M$11</f>
        <v>0.2362</v>
      </c>
      <c r="N31" s="174">
        <f t="shared" si="10"/>
        <v>0.4345</v>
      </c>
      <c r="O31" s="188">
        <v>0.5914</v>
      </c>
      <c r="P31" s="14">
        <f>ROUND(-INPUT!$B$74*DETAIL!N31,4)</f>
        <v>-0.0565</v>
      </c>
      <c r="Q31" s="14">
        <f>Q$11</f>
        <v>0</v>
      </c>
      <c r="R31" s="126" t="e">
        <f>ROUND((Q31+#REF!+N31)/(1-INPUT!$B$79)-(Q31+#REF!+N31),4)</f>
        <v>#REF!</v>
      </c>
      <c r="S31" s="126">
        <f>ROUND((Q31+P31+N31)/(1-INPUT!$B$79)-(Q31+P31+N31),4)</f>
        <v>0.0105</v>
      </c>
      <c r="T31" s="129" t="e">
        <f>IF(ROUND(R31+Q31+#REF!+N31,2)&gt;(N31),ROUND(R31+Q31+#REF!+N31,2),ROUND(N31+0.01,2))</f>
        <v>#REF!</v>
      </c>
      <c r="U31" s="180">
        <f t="shared" si="11"/>
        <v>0.44</v>
      </c>
      <c r="V31" s="197">
        <v>0.63</v>
      </c>
    </row>
    <row r="32" spans="1:22" ht="14.25" thickBot="1" thickTop="1">
      <c r="A32" s="284"/>
      <c r="B32" s="287"/>
      <c r="C32" s="6" t="s">
        <v>15</v>
      </c>
      <c r="D32" s="12">
        <f>'CNTNR COST'!I30</f>
        <v>0.1331</v>
      </c>
      <c r="E32" s="11">
        <v>0</v>
      </c>
      <c r="F32" s="11">
        <f>+$F$12</f>
        <v>0.0256</v>
      </c>
      <c r="G32" s="15">
        <f>ROUND($G$11/2,4)</f>
        <v>0.0029</v>
      </c>
      <c r="H32" s="15">
        <f>ROUND($H$11/2,4)</f>
        <v>0</v>
      </c>
      <c r="I32" s="11">
        <f t="shared" si="12"/>
        <v>0.1616</v>
      </c>
      <c r="J32" s="11">
        <f t="shared" si="13"/>
        <v>0.005687784679089036</v>
      </c>
      <c r="K32" s="14">
        <f t="shared" si="14"/>
        <v>0.1673</v>
      </c>
      <c r="L32" s="11">
        <f>ROUND(L$11/2,4)</f>
        <v>-0.0624</v>
      </c>
      <c r="M32" s="11">
        <f>ROUND(M$11/2,4)</f>
        <v>0.1181</v>
      </c>
      <c r="N32" s="174">
        <f t="shared" si="10"/>
        <v>0.223</v>
      </c>
      <c r="O32" s="188">
        <v>0.3411</v>
      </c>
      <c r="P32" s="14">
        <f>ROUND(-INPUT!$B$74*DETAIL!N32,4)</f>
        <v>-0.029</v>
      </c>
      <c r="Q32" s="14">
        <f>Q$12</f>
        <v>0</v>
      </c>
      <c r="R32" s="14" t="e">
        <f>ROUND((Q32+#REF!+N32)/(1-INPUT!$B$79)-(Q32+#REF!+N32),4)</f>
        <v>#REF!</v>
      </c>
      <c r="S32" s="14">
        <f>ROUND((Q32+P32+N32)/(1-INPUT!$B$79)-(Q32+P32+N32),4)</f>
        <v>0.0054</v>
      </c>
      <c r="T32" s="128" t="e">
        <f>IF(ROUND(R32+Q32+#REF!+N32,2)&gt;(N32),ROUND(R32+Q32+#REF!+N32,2),ROUND(N32+0.01,2))</f>
        <v>#REF!</v>
      </c>
      <c r="U32" s="180">
        <f t="shared" si="11"/>
        <v>0.23</v>
      </c>
      <c r="V32" s="197">
        <v>0.35</v>
      </c>
    </row>
    <row r="33" spans="1:22" ht="14.25" thickBot="1" thickTop="1">
      <c r="A33" s="284"/>
      <c r="B33" s="287"/>
      <c r="C33" s="6" t="s">
        <v>190</v>
      </c>
      <c r="D33" s="12">
        <f>'CNTNR COST'!I31</f>
        <v>0.1628</v>
      </c>
      <c r="E33" s="11">
        <v>0</v>
      </c>
      <c r="F33" s="11">
        <f>+$F$13</f>
        <v>0</v>
      </c>
      <c r="G33" s="15">
        <f>ROUND($G$11/32*12,4)</f>
        <v>0.0022</v>
      </c>
      <c r="H33" s="15">
        <f>ROUND($H$11/32*12,4)</f>
        <v>0</v>
      </c>
      <c r="I33" s="11">
        <f t="shared" si="12"/>
        <v>0.165</v>
      </c>
      <c r="J33" s="11">
        <f t="shared" si="13"/>
        <v>0.005807453416149078</v>
      </c>
      <c r="K33" s="14">
        <f t="shared" si="14"/>
        <v>0.1708</v>
      </c>
      <c r="L33" s="11">
        <f>ROUND(L$11/32*12,4)</f>
        <v>-0.0468</v>
      </c>
      <c r="M33" s="11">
        <f>ROUND(M$11/32*12,4)</f>
        <v>0.0886</v>
      </c>
      <c r="N33" s="174">
        <f t="shared" si="10"/>
        <v>0.2126</v>
      </c>
      <c r="O33" s="188"/>
      <c r="P33" s="14">
        <f>ROUND(-INPUT!$B$74*DETAIL!N33,4)</f>
        <v>-0.0276</v>
      </c>
      <c r="Q33" s="14">
        <f>ROUND(Q$11/32*12,4)</f>
        <v>0</v>
      </c>
      <c r="R33" s="14"/>
      <c r="S33" s="14">
        <f>ROUND((Q33+P33+N33)/(1-INPUT!$B$79)-(Q33+P33+N33),4)</f>
        <v>0.0051</v>
      </c>
      <c r="T33" s="128"/>
      <c r="U33" s="180">
        <f t="shared" si="11"/>
        <v>0.22</v>
      </c>
      <c r="V33" s="197"/>
    </row>
    <row r="34" spans="1:22" ht="14.25" thickBot="1" thickTop="1">
      <c r="A34" s="284"/>
      <c r="B34" s="287"/>
      <c r="C34" s="6" t="s">
        <v>56</v>
      </c>
      <c r="D34" s="12">
        <f>'CNTNR COST'!I32</f>
        <v>0.1419</v>
      </c>
      <c r="E34" s="11">
        <v>0</v>
      </c>
      <c r="F34" s="11">
        <f>+$F$14</f>
        <v>0</v>
      </c>
      <c r="G34" s="15">
        <f>ROUND($G$11/32*10,4)</f>
        <v>0.0018</v>
      </c>
      <c r="H34" s="15">
        <f>ROUND($H$11/32*10,4)</f>
        <v>0</v>
      </c>
      <c r="I34" s="11">
        <f t="shared" si="12"/>
        <v>0.1437</v>
      </c>
      <c r="J34" s="11">
        <f t="shared" si="13"/>
        <v>0.005057763975155283</v>
      </c>
      <c r="K34" s="14">
        <f t="shared" si="14"/>
        <v>0.1488</v>
      </c>
      <c r="L34" s="11">
        <f>ROUND(L$11/32*10,4)</f>
        <v>-0.039</v>
      </c>
      <c r="M34" s="11">
        <f>ROUND(M$11/32*10,4)</f>
        <v>0.0738</v>
      </c>
      <c r="N34" s="174">
        <f t="shared" si="10"/>
        <v>0.1836</v>
      </c>
      <c r="O34" s="188">
        <v>0.2284</v>
      </c>
      <c r="P34" s="14">
        <f>ROUND(-INPUT!$B$74*DETAIL!N34,4)</f>
        <v>-0.0239</v>
      </c>
      <c r="Q34" s="14">
        <f>Q$14</f>
        <v>0</v>
      </c>
      <c r="R34" s="14" t="e">
        <f>ROUND((Q34+#REF!+N34)/(1-INPUT!$B$79)-(Q34+#REF!+N34),4)</f>
        <v>#REF!</v>
      </c>
      <c r="S34" s="14">
        <f>ROUND((Q34+P34+N34)/(1-INPUT!$B$79)-(Q34+P34+N34),4)</f>
        <v>0.0044</v>
      </c>
      <c r="T34" s="128" t="e">
        <f>IF(ROUND(R34+Q34+#REF!+N34,2)&gt;(N34),ROUND(R34+Q34+#REF!+N34,2),ROUND(N34+0.01,2))</f>
        <v>#REF!</v>
      </c>
      <c r="U34" s="180">
        <f t="shared" si="11"/>
        <v>0.19</v>
      </c>
      <c r="V34" s="197">
        <v>0.24</v>
      </c>
    </row>
    <row r="35" spans="1:22" ht="14.25" thickBot="1" thickTop="1">
      <c r="A35" s="284"/>
      <c r="B35" s="287"/>
      <c r="C35" s="6" t="s">
        <v>57</v>
      </c>
      <c r="D35" s="12">
        <f>'CNTNR COST'!I33</f>
        <v>0.0666</v>
      </c>
      <c r="E35" s="11">
        <v>0</v>
      </c>
      <c r="F35" s="11">
        <f>+$F$15</f>
        <v>0.0146</v>
      </c>
      <c r="G35" s="15">
        <f>ROUND($G$11/4,4)</f>
        <v>0.0015</v>
      </c>
      <c r="H35" s="15">
        <f>ROUND($H$11/4,4)</f>
        <v>0</v>
      </c>
      <c r="I35" s="11">
        <f t="shared" si="12"/>
        <v>0.0827</v>
      </c>
      <c r="J35" s="11">
        <f t="shared" si="13"/>
        <v>0.0029107660455486573</v>
      </c>
      <c r="K35" s="14">
        <f t="shared" si="14"/>
        <v>0.0856</v>
      </c>
      <c r="L35" s="11">
        <f>ROUND(L$11/4,4)</f>
        <v>-0.0312</v>
      </c>
      <c r="M35" s="11">
        <f>ROUND(M$11/4,4)</f>
        <v>0.0591</v>
      </c>
      <c r="N35" s="174">
        <f t="shared" si="10"/>
        <v>0.1135</v>
      </c>
      <c r="O35" s="188">
        <v>0.1676</v>
      </c>
      <c r="P35" s="14">
        <f>ROUND(-INPUT!$B$74*DETAIL!N35,4)</f>
        <v>-0.0148</v>
      </c>
      <c r="Q35" s="14">
        <f>Q$15</f>
        <v>0</v>
      </c>
      <c r="R35" s="14" t="e">
        <f>ROUND((Q35+#REF!+N35)/(1-INPUT!$B$79)-(Q35+#REF!+N35),4)</f>
        <v>#REF!</v>
      </c>
      <c r="S35" s="14">
        <f>ROUND((Q35+P35+N35)/(1-INPUT!$B$79)-(Q35+P35+N35),4)</f>
        <v>0.0027</v>
      </c>
      <c r="T35" s="128" t="e">
        <f>IF(ROUND(R35+Q35+#REF!+N35,2)&gt;(N35),ROUND(R35+Q35+#REF!+N35,2),ROUND(N35+0.01,2))</f>
        <v>#REF!</v>
      </c>
      <c r="U35" s="180">
        <f t="shared" si="11"/>
        <v>0.12</v>
      </c>
      <c r="V35" s="197">
        <v>0.17</v>
      </c>
    </row>
    <row r="36" spans="1:22" ht="14.25" thickBot="1" thickTop="1">
      <c r="A36" s="284"/>
      <c r="B36" s="287"/>
      <c r="C36" s="6" t="s">
        <v>58</v>
      </c>
      <c r="D36" s="12">
        <f>'CNTNR COST'!I34</f>
        <v>0.0528</v>
      </c>
      <c r="E36" s="11">
        <v>0</v>
      </c>
      <c r="F36" s="11">
        <f>+$F$16</f>
        <v>0.0181</v>
      </c>
      <c r="G36" s="15">
        <f>ROUND($G$11/8,4)</f>
        <v>0.0007</v>
      </c>
      <c r="H36" s="15">
        <f>ROUND($H$11/8,4)</f>
        <v>0</v>
      </c>
      <c r="I36" s="11">
        <f t="shared" si="12"/>
        <v>0.0716</v>
      </c>
      <c r="J36" s="11">
        <f t="shared" si="13"/>
        <v>0.0025200828157349864</v>
      </c>
      <c r="K36" s="14">
        <f t="shared" si="14"/>
        <v>0.0741</v>
      </c>
      <c r="L36" s="11">
        <f>ROUND(L$11/8,4)</f>
        <v>-0.0156</v>
      </c>
      <c r="M36" s="11">
        <f>ROUND(M$11/8,4)</f>
        <v>0.0295</v>
      </c>
      <c r="N36" s="174">
        <f t="shared" si="10"/>
        <v>0.088</v>
      </c>
      <c r="O36" s="188">
        <v>0.1143</v>
      </c>
      <c r="P36" s="14">
        <f>ROUND(-INPUT!$B$74*DETAIL!N36,4)</f>
        <v>-0.0114</v>
      </c>
      <c r="Q36" s="14">
        <f>Q$16</f>
        <v>0</v>
      </c>
      <c r="R36" s="14" t="e">
        <f>ROUND((Q36+#REF!+N36)/(1-INPUT!$B$79)-(Q36+#REF!+N36),4)</f>
        <v>#REF!</v>
      </c>
      <c r="S36" s="14">
        <f>ROUND((Q36+P36+N36)/(1-INPUT!$B$79)-(Q36+P36+N36),4)</f>
        <v>0.0021</v>
      </c>
      <c r="T36" s="128" t="e">
        <f>IF(ROUND(R36+Q36+#REF!+N36,2)&gt;(N36),ROUND(R36+Q36+#REF!+N36,2),ROUND(N36+0.01,2))</f>
        <v>#REF!</v>
      </c>
      <c r="U36" s="180">
        <f t="shared" si="11"/>
        <v>0.1</v>
      </c>
      <c r="V36" s="197">
        <v>0.12</v>
      </c>
    </row>
    <row r="37" spans="1:22" ht="14.25" thickBot="1" thickTop="1">
      <c r="A37" s="285"/>
      <c r="B37" s="288"/>
      <c r="C37" s="6" t="s">
        <v>78</v>
      </c>
      <c r="D37" s="23">
        <f>'CNTNR COST'!I35</f>
        <v>0.3036</v>
      </c>
      <c r="E37" s="24">
        <v>0</v>
      </c>
      <c r="F37" s="24">
        <f>+$F$17</f>
        <v>0.0217</v>
      </c>
      <c r="G37" s="27">
        <f>ROUND($G$11,4)</f>
        <v>0.0058</v>
      </c>
      <c r="H37" s="27">
        <f>ROUND($H$11,4)</f>
        <v>0</v>
      </c>
      <c r="I37" s="24">
        <f t="shared" si="12"/>
        <v>0.3311</v>
      </c>
      <c r="J37" s="24">
        <f t="shared" si="13"/>
        <v>0.011653623188405793</v>
      </c>
      <c r="K37" s="29">
        <f t="shared" si="14"/>
        <v>0.3428</v>
      </c>
      <c r="L37" s="24">
        <f>L$11</f>
        <v>-0.1248</v>
      </c>
      <c r="M37" s="24">
        <f>M$11</f>
        <v>0.2362</v>
      </c>
      <c r="N37" s="175">
        <f t="shared" si="10"/>
        <v>0.4542</v>
      </c>
      <c r="O37" s="189">
        <v>0.5898</v>
      </c>
      <c r="P37" s="29">
        <f>ROUND(-INPUT!$B$74*DETAIL!N37,4)</f>
        <v>-0.059</v>
      </c>
      <c r="Q37" s="29">
        <f>Q$17</f>
        <v>0</v>
      </c>
      <c r="R37" s="29" t="e">
        <f>ROUND((Q37+#REF!+N37)/(1-INPUT!$B$79)-(Q37+#REF!+N37),4)</f>
        <v>#REF!</v>
      </c>
      <c r="S37" s="29">
        <f>ROUND((Q37+P37+N37)/(1-INPUT!$B$79)-(Q37+P37+N37),4)</f>
        <v>0.011</v>
      </c>
      <c r="T37" s="130" t="e">
        <f>IF(ROUND(R37+Q37+#REF!+N37,2)&gt;(N37),ROUND(R37+Q37+#REF!+N37,2),ROUND(N37+0.01,2))</f>
        <v>#REF!</v>
      </c>
      <c r="U37" s="181">
        <f t="shared" si="11"/>
        <v>0.46</v>
      </c>
      <c r="V37" s="198">
        <v>0.63</v>
      </c>
    </row>
    <row r="38" spans="3:22" ht="14.25" thickBot="1" thickTop="1">
      <c r="C38" s="168"/>
      <c r="K38" s="30"/>
      <c r="N38" s="154"/>
      <c r="O38" s="190"/>
      <c r="P38" s="154"/>
      <c r="Q38" s="154"/>
      <c r="R38" s="154"/>
      <c r="S38" s="154"/>
      <c r="T38" s="153"/>
      <c r="V38" s="195"/>
    </row>
    <row r="39" spans="1:22" ht="14.25" thickBot="1" thickTop="1">
      <c r="A39" s="283" t="s">
        <v>174</v>
      </c>
      <c r="B39" s="286" t="s">
        <v>171</v>
      </c>
      <c r="C39" s="6" t="s">
        <v>12</v>
      </c>
      <c r="D39" s="22">
        <f>'CNTNR COST'!I37</f>
        <v>1.0708</v>
      </c>
      <c r="E39" s="10">
        <v>0</v>
      </c>
      <c r="F39" s="10">
        <f>+$F$9</f>
        <v>-0.0532</v>
      </c>
      <c r="G39" s="10">
        <f>G41*4</f>
        <v>0.0232</v>
      </c>
      <c r="H39" s="26">
        <f>ROUND($H$11*4,6)</f>
        <v>0</v>
      </c>
      <c r="I39" s="10">
        <f>ROUND(SUM(D39:H39),4)</f>
        <v>1.0408</v>
      </c>
      <c r="J39" s="10">
        <f>(I39/(1-$J$5))-I39</f>
        <v>0.03663271221532094</v>
      </c>
      <c r="K39" s="28">
        <f>ROUND(I39+J39,4)</f>
        <v>1.0774</v>
      </c>
      <c r="L39" s="10">
        <f>ROUND(L$11*4,4)</f>
        <v>-0.4992</v>
      </c>
      <c r="M39" s="10">
        <f>ROUND(M$11*4,4)</f>
        <v>0.9448</v>
      </c>
      <c r="N39" s="173">
        <f aca="true" t="shared" si="15" ref="N39:N47">ROUND(SUM(K39:M39),4)</f>
        <v>1.523</v>
      </c>
      <c r="O39" s="187">
        <v>2.1373</v>
      </c>
      <c r="P39" s="28">
        <f>ROUND(-INPUT!$B$74*DETAIL!N39,4)</f>
        <v>-0.198</v>
      </c>
      <c r="Q39" s="28">
        <f>Q$9</f>
        <v>0</v>
      </c>
      <c r="R39" s="28" t="e">
        <f>ROUND((Q39+#REF!+N39)/(1-INPUT!$B$79)-(Q39+#REF!+N39),4)</f>
        <v>#REF!</v>
      </c>
      <c r="S39" s="28">
        <f>ROUND((Q39+P39+N39)/(1-INPUT!$B$79)-(Q39+P39+N39),4)</f>
        <v>0.0368</v>
      </c>
      <c r="T39" s="127" t="e">
        <f>IF(ROUND(R39+Q39+#REF!+N39,2)&gt;(N39),ROUND(R39+Q39+#REF!+N39,2),ROUND(R39+Q39+#REF!+N39+0.01,2))</f>
        <v>#REF!</v>
      </c>
      <c r="U39" s="179">
        <f aca="true" t="shared" si="16" ref="U39:U47">IF(ROUND(S39+Q39+P39+N39,2)&gt;(N39),ROUND(S39+Q39+P39+N39,2),ROUND(S39+Q39+P39+N39+0.01,2))</f>
        <v>1.37</v>
      </c>
      <c r="V39" s="196">
        <v>2.31</v>
      </c>
    </row>
    <row r="40" spans="1:22" ht="14.25" thickBot="1" thickTop="1">
      <c r="A40" s="284"/>
      <c r="B40" s="287"/>
      <c r="C40" s="6" t="s">
        <v>55</v>
      </c>
      <c r="D40" s="12">
        <f>'CNTNR COST'!I38</f>
        <v>0.5354</v>
      </c>
      <c r="E40" s="11">
        <v>0</v>
      </c>
      <c r="F40" s="11">
        <f>+$F$10</f>
        <v>-0.0299</v>
      </c>
      <c r="G40" s="11">
        <f>G41*2</f>
        <v>0.0116</v>
      </c>
      <c r="H40" s="15">
        <f>ROUND($H$11*2,6)</f>
        <v>0</v>
      </c>
      <c r="I40" s="11">
        <f aca="true" t="shared" si="17" ref="I40:I47">ROUND(SUM(D40:H40),4)</f>
        <v>0.5171</v>
      </c>
      <c r="J40" s="11">
        <f aca="true" t="shared" si="18" ref="J40:J47">(I40/(1-$J$5))-I40</f>
        <v>0.018200207039337446</v>
      </c>
      <c r="K40" s="14">
        <f aca="true" t="shared" si="19" ref="K40:K47">ROUND(I40+J40,4)</f>
        <v>0.5353</v>
      </c>
      <c r="L40" s="11">
        <f>ROUND(L$11*2,4)</f>
        <v>-0.2496</v>
      </c>
      <c r="M40" s="11">
        <f>ROUND(M$11*2,4)</f>
        <v>0.4724</v>
      </c>
      <c r="N40" s="174">
        <f t="shared" si="15"/>
        <v>0.7581</v>
      </c>
      <c r="O40" s="188">
        <v>1.0843</v>
      </c>
      <c r="P40" s="14">
        <f>ROUND(-INPUT!$B$74*DETAIL!N40,4)</f>
        <v>-0.0986</v>
      </c>
      <c r="Q40" s="14">
        <f>Q$10</f>
        <v>0</v>
      </c>
      <c r="R40" s="14" t="e">
        <f>ROUND((Q40+#REF!+N40)/(1-INPUT!$B$79)-(Q40+#REF!+N40),4)</f>
        <v>#REF!</v>
      </c>
      <c r="S40" s="14">
        <f>ROUND((Q40+P40+N40)/(1-INPUT!$B$79)-(Q40+P40+N40),4)</f>
        <v>0.0183</v>
      </c>
      <c r="T40" s="128" t="e">
        <f>IF(ROUND(R40+Q40+#REF!+N40,2)&gt;(N40),ROUND(R40+Q40+#REF!+N40,2),ROUND(R40+Q40+#REF!+N40+0.01,2))</f>
        <v>#REF!</v>
      </c>
      <c r="U40" s="180">
        <f t="shared" si="16"/>
        <v>0.69</v>
      </c>
      <c r="V40" s="197">
        <v>1.17</v>
      </c>
    </row>
    <row r="41" spans="1:22" ht="14.25" thickBot="1" thickTop="1">
      <c r="A41" s="284"/>
      <c r="B41" s="287"/>
      <c r="C41" s="6" t="s">
        <v>14</v>
      </c>
      <c r="D41" s="12">
        <f>'CNTNR COST'!I39</f>
        <v>0.2677</v>
      </c>
      <c r="E41" s="11">
        <v>0</v>
      </c>
      <c r="F41" s="11">
        <f>+$F$11</f>
        <v>0.0401</v>
      </c>
      <c r="G41" s="15">
        <f>ROUND(COST_UPDATE_ADJ,4)</f>
        <v>0.0058</v>
      </c>
      <c r="H41" s="15">
        <f>Energy_Addon</f>
        <v>0</v>
      </c>
      <c r="I41" s="11">
        <f t="shared" si="17"/>
        <v>0.3136</v>
      </c>
      <c r="J41" s="11">
        <f t="shared" si="18"/>
        <v>0.011037681159420276</v>
      </c>
      <c r="K41" s="14">
        <f t="shared" si="19"/>
        <v>0.3246</v>
      </c>
      <c r="L41" s="11">
        <f>$L$11</f>
        <v>-0.1248</v>
      </c>
      <c r="M41" s="11">
        <f>$M$11</f>
        <v>0.2362</v>
      </c>
      <c r="N41" s="174">
        <f t="shared" si="15"/>
        <v>0.436</v>
      </c>
      <c r="O41" s="188">
        <v>0.5727</v>
      </c>
      <c r="P41" s="14">
        <f>ROUND(-INPUT!$B$74*DETAIL!N41,4)</f>
        <v>-0.0567</v>
      </c>
      <c r="Q41" s="14">
        <f>Q$11</f>
        <v>0</v>
      </c>
      <c r="R41" s="126" t="e">
        <f>ROUND((Q41+#REF!+N41)/(1-INPUT!$B$79)-(Q41+#REF!+N41),4)</f>
        <v>#REF!</v>
      </c>
      <c r="S41" s="126">
        <f>ROUND((Q41+P41+N41)/(1-INPUT!$B$79)-(Q41+P41+N41),4)</f>
        <v>0.0105</v>
      </c>
      <c r="T41" s="129" t="e">
        <f>IF(ROUND(R41+Q41+#REF!+N41,2)&gt;(N41),ROUND(R41+Q41+#REF!+N41,2),ROUND(R41+Q41+#REF!+N41+0.01,2))</f>
        <v>#REF!</v>
      </c>
      <c r="U41" s="180">
        <f t="shared" si="16"/>
        <v>0.4</v>
      </c>
      <c r="V41" s="197">
        <v>0.61</v>
      </c>
    </row>
    <row r="42" spans="1:22" ht="14.25" thickBot="1" thickTop="1">
      <c r="A42" s="284"/>
      <c r="B42" s="287"/>
      <c r="C42" s="6" t="s">
        <v>15</v>
      </c>
      <c r="D42" s="12">
        <f>'CNTNR COST'!I40</f>
        <v>0.1339</v>
      </c>
      <c r="E42" s="11">
        <v>0</v>
      </c>
      <c r="F42" s="11">
        <f>+$F$12</f>
        <v>0.0256</v>
      </c>
      <c r="G42" s="15">
        <f>ROUND($G$11/2,4)</f>
        <v>0.0029</v>
      </c>
      <c r="H42" s="15">
        <f>ROUND($H$11/2,4)</f>
        <v>0</v>
      </c>
      <c r="I42" s="11">
        <f t="shared" si="17"/>
        <v>0.1624</v>
      </c>
      <c r="J42" s="11">
        <f t="shared" si="18"/>
        <v>0.00571594202898551</v>
      </c>
      <c r="K42" s="14">
        <f t="shared" si="19"/>
        <v>0.1681</v>
      </c>
      <c r="L42" s="11">
        <f>ROUND(L$11/2,4)</f>
        <v>-0.0624</v>
      </c>
      <c r="M42" s="11">
        <f>ROUND(M$11/2,4)</f>
        <v>0.1181</v>
      </c>
      <c r="N42" s="174">
        <f t="shared" si="15"/>
        <v>0.2238</v>
      </c>
      <c r="O42" s="188">
        <v>0.3318</v>
      </c>
      <c r="P42" s="14">
        <f>ROUND(-INPUT!$B$74*DETAIL!N42,4)</f>
        <v>-0.0291</v>
      </c>
      <c r="Q42" s="14">
        <f>Q$12</f>
        <v>0</v>
      </c>
      <c r="R42" s="14" t="e">
        <f>ROUND((Q42+#REF!+N42)/(1-INPUT!$B$79)-(Q42+#REF!+N42),4)</f>
        <v>#REF!</v>
      </c>
      <c r="S42" s="14">
        <f>ROUND((Q42+P42+N42)/(1-INPUT!$B$79)-(Q42+P42+N42),4)</f>
        <v>0.0054</v>
      </c>
      <c r="T42" s="128" t="e">
        <f>IF(ROUND(R42+Q42+#REF!+N42,2)&gt;(N42),ROUND(R42+Q42+#REF!+N42,2),ROUND(R42+Q42+#REF!+N42+0.01,2))</f>
        <v>#REF!</v>
      </c>
      <c r="U42" s="180">
        <f t="shared" si="16"/>
        <v>0.21</v>
      </c>
      <c r="V42" s="197">
        <v>0.35</v>
      </c>
    </row>
    <row r="43" spans="1:22" ht="14.25" thickBot="1" thickTop="1">
      <c r="A43" s="284"/>
      <c r="B43" s="287"/>
      <c r="C43" s="6" t="s">
        <v>190</v>
      </c>
      <c r="D43" s="12">
        <f>'CNTNR COST'!I41</f>
        <v>0.1634</v>
      </c>
      <c r="E43" s="11">
        <v>0</v>
      </c>
      <c r="F43" s="11">
        <f>+$F$13</f>
        <v>0</v>
      </c>
      <c r="G43" s="15">
        <f>ROUND($G$11/32*12,4)</f>
        <v>0.0022</v>
      </c>
      <c r="H43" s="15">
        <f>ROUND($H$11/32*12,4)</f>
        <v>0</v>
      </c>
      <c r="I43" s="11">
        <f t="shared" si="17"/>
        <v>0.1656</v>
      </c>
      <c r="J43" s="11">
        <f t="shared" si="18"/>
        <v>0.005828571428571433</v>
      </c>
      <c r="K43" s="14">
        <f t="shared" si="19"/>
        <v>0.1714</v>
      </c>
      <c r="L43" s="11">
        <f>ROUND(L$11/32*12,4)</f>
        <v>-0.0468</v>
      </c>
      <c r="M43" s="11">
        <f>ROUND(M$11/32*12,4)</f>
        <v>0.0886</v>
      </c>
      <c r="N43" s="174">
        <f t="shared" si="15"/>
        <v>0.2132</v>
      </c>
      <c r="O43" s="188"/>
      <c r="P43" s="14">
        <f>ROUND(-INPUT!$B$74*DETAIL!N43,4)</f>
        <v>-0.0277</v>
      </c>
      <c r="Q43" s="14">
        <f>ROUND(Q$11/32*12,4)</f>
        <v>0</v>
      </c>
      <c r="R43" s="14"/>
      <c r="S43" s="14">
        <f>ROUND((Q43+P43+N43)/(1-INPUT!$B$79)-(Q43+P43+N43),4)</f>
        <v>0.0051</v>
      </c>
      <c r="T43" s="128"/>
      <c r="U43" s="180">
        <f>IF(ROUND(S43+Q43+P43+N43,2)&gt;(N43),ROUND(S43+Q43+P43+N43,2),ROUND(N43+0.01,2))</f>
        <v>0.22</v>
      </c>
      <c r="V43" s="197"/>
    </row>
    <row r="44" spans="1:22" ht="14.25" thickBot="1" thickTop="1">
      <c r="A44" s="284"/>
      <c r="B44" s="287"/>
      <c r="C44" s="6" t="s">
        <v>56</v>
      </c>
      <c r="D44" s="12">
        <f>'CNTNR COST'!I42</f>
        <v>0.1424</v>
      </c>
      <c r="E44" s="11">
        <v>0</v>
      </c>
      <c r="F44" s="11">
        <f>+$F$14</f>
        <v>0</v>
      </c>
      <c r="G44" s="15">
        <f>ROUND($G$11/32*10,4)</f>
        <v>0.0018</v>
      </c>
      <c r="H44" s="15">
        <f>ROUND($H$11/32*10,4)</f>
        <v>0</v>
      </c>
      <c r="I44" s="11">
        <f t="shared" si="17"/>
        <v>0.1442</v>
      </c>
      <c r="J44" s="11">
        <f t="shared" si="18"/>
        <v>0.005075362318840593</v>
      </c>
      <c r="K44" s="14">
        <f t="shared" si="19"/>
        <v>0.1493</v>
      </c>
      <c r="L44" s="11">
        <f>ROUND(L$11/32*10,4)</f>
        <v>-0.039</v>
      </c>
      <c r="M44" s="11">
        <f>ROUND(M$11/32*10,4)</f>
        <v>0.0738</v>
      </c>
      <c r="N44" s="174">
        <f t="shared" si="15"/>
        <v>0.1841</v>
      </c>
      <c r="O44" s="188">
        <v>0.2226</v>
      </c>
      <c r="P44" s="14">
        <f>ROUND(-INPUT!$B$74*DETAIL!N44,4)</f>
        <v>-0.0239</v>
      </c>
      <c r="Q44" s="14">
        <f>Q$14</f>
        <v>0</v>
      </c>
      <c r="R44" s="14" t="e">
        <f>ROUND((Q44+#REF!+N44)/(1-INPUT!$B$79)-(Q44+#REF!+N44),4)</f>
        <v>#REF!</v>
      </c>
      <c r="S44" s="14">
        <f>ROUND((Q44+P44+N44)/(1-INPUT!$B$79)-(Q44+P44+N44),4)</f>
        <v>0.0044</v>
      </c>
      <c r="T44" s="128" t="e">
        <f>IF(ROUND(R44+Q44+#REF!+N44,2)&gt;(N44),ROUND(R44+Q44+#REF!+N44,2),ROUND(R44+Q44+#REF!+N44+0.01,2))</f>
        <v>#REF!</v>
      </c>
      <c r="U44" s="180">
        <f t="shared" si="16"/>
        <v>0.17</v>
      </c>
      <c r="V44" s="197">
        <v>0.23</v>
      </c>
    </row>
    <row r="45" spans="1:22" ht="14.25" thickBot="1" thickTop="1">
      <c r="A45" s="284"/>
      <c r="B45" s="287"/>
      <c r="C45" s="6" t="s">
        <v>57</v>
      </c>
      <c r="D45" s="12">
        <f>'CNTNR COST'!I43</f>
        <v>0.067</v>
      </c>
      <c r="E45" s="11">
        <v>0</v>
      </c>
      <c r="F45" s="11">
        <f>+$F$15</f>
        <v>0.0146</v>
      </c>
      <c r="G45" s="15">
        <f>ROUND($G$11/4,4)</f>
        <v>0.0015</v>
      </c>
      <c r="H45" s="15">
        <f>ROUND($H$11/4,4)</f>
        <v>0</v>
      </c>
      <c r="I45" s="11">
        <f t="shared" si="17"/>
        <v>0.0831</v>
      </c>
      <c r="J45" s="11">
        <f t="shared" si="18"/>
        <v>0.002924844720496894</v>
      </c>
      <c r="K45" s="14">
        <f t="shared" si="19"/>
        <v>0.086</v>
      </c>
      <c r="L45" s="11">
        <f>ROUND(L$11/4,4)</f>
        <v>-0.0312</v>
      </c>
      <c r="M45" s="11">
        <f>ROUND(M$11/4,4)</f>
        <v>0.0591</v>
      </c>
      <c r="N45" s="174">
        <f t="shared" si="15"/>
        <v>0.1139</v>
      </c>
      <c r="O45" s="188">
        <v>0.1629</v>
      </c>
      <c r="P45" s="14">
        <f>ROUND(-INPUT!$B$74*DETAIL!N45,4)</f>
        <v>-0.0148</v>
      </c>
      <c r="Q45" s="14">
        <f>Q$15</f>
        <v>0</v>
      </c>
      <c r="R45" s="14" t="e">
        <f>ROUND((Q45+#REF!+N45)/(1-INPUT!$B$79)-(Q45+#REF!+N45),4)</f>
        <v>#REF!</v>
      </c>
      <c r="S45" s="14">
        <f>ROUND((Q45+P45+N45)/(1-INPUT!$B$79)-(Q45+P45+N45),4)</f>
        <v>0.0027</v>
      </c>
      <c r="T45" s="128" t="e">
        <f>IF(ROUND(R45+Q45+#REF!+N45,2)&gt;(N45),ROUND(R45+Q45+#REF!+N45,2),ROUND(R45+Q45+#REF!+N45+0.01,2))</f>
        <v>#REF!</v>
      </c>
      <c r="U45" s="180">
        <f t="shared" si="16"/>
        <v>0.11</v>
      </c>
      <c r="V45" s="197">
        <v>0.17</v>
      </c>
    </row>
    <row r="46" spans="1:22" ht="14.25" thickBot="1" thickTop="1">
      <c r="A46" s="284"/>
      <c r="B46" s="287"/>
      <c r="C46" s="6" t="s">
        <v>58</v>
      </c>
      <c r="D46" s="12">
        <f>'CNTNR COST'!I44</f>
        <v>0.053</v>
      </c>
      <c r="E46" s="11">
        <v>0</v>
      </c>
      <c r="F46" s="11">
        <f>+$F$16</f>
        <v>0.0181</v>
      </c>
      <c r="G46" s="15">
        <f>ROUND($G$11/8,4)</f>
        <v>0.0007</v>
      </c>
      <c r="H46" s="15">
        <f>ROUND($H$11/8,4)</f>
        <v>0</v>
      </c>
      <c r="I46" s="11">
        <f t="shared" si="17"/>
        <v>0.0718</v>
      </c>
      <c r="J46" s="11">
        <f t="shared" si="18"/>
        <v>0.0025271221532091187</v>
      </c>
      <c r="K46" s="14">
        <f t="shared" si="19"/>
        <v>0.0743</v>
      </c>
      <c r="L46" s="11">
        <f>ROUND(L$11/8,4)</f>
        <v>-0.0156</v>
      </c>
      <c r="M46" s="11">
        <f>ROUND(M$11/8,4)</f>
        <v>0.0295</v>
      </c>
      <c r="N46" s="174">
        <f t="shared" si="15"/>
        <v>0.0882</v>
      </c>
      <c r="O46" s="188">
        <v>0.112</v>
      </c>
      <c r="P46" s="14">
        <f>ROUND(-INPUT!$B$74*DETAIL!N46,4)</f>
        <v>-0.0115</v>
      </c>
      <c r="Q46" s="14">
        <f>Q$16</f>
        <v>0</v>
      </c>
      <c r="R46" s="14" t="e">
        <f>ROUND((Q46+#REF!+N46)/(1-INPUT!$B$79)-(Q46+#REF!+N46),4)</f>
        <v>#REF!</v>
      </c>
      <c r="S46" s="14">
        <f>ROUND((Q46+P46+N46)/(1-INPUT!$B$79)-(Q46+P46+N46),4)</f>
        <v>0.0021</v>
      </c>
      <c r="T46" s="128" t="e">
        <f>IF(ROUND(R46+Q46+#REF!+N46,2)&gt;(N46),ROUND(R46+Q46+#REF!+N46,2),ROUND(R46+Q46+#REF!+N46+0.01,2))</f>
        <v>#REF!</v>
      </c>
      <c r="U46" s="180">
        <f t="shared" si="16"/>
        <v>0.09</v>
      </c>
      <c r="V46" s="197">
        <v>0.12</v>
      </c>
    </row>
    <row r="47" spans="1:22" ht="14.25" thickBot="1" thickTop="1">
      <c r="A47" s="285"/>
      <c r="B47" s="288"/>
      <c r="C47" s="6" t="s">
        <v>78</v>
      </c>
      <c r="D47" s="23">
        <f>'CNTNR COST'!I45</f>
        <v>0.3051</v>
      </c>
      <c r="E47" s="24">
        <v>0</v>
      </c>
      <c r="F47" s="24">
        <f>+$F$17</f>
        <v>0.0217</v>
      </c>
      <c r="G47" s="27">
        <f>ROUND($G$11,4)</f>
        <v>0.0058</v>
      </c>
      <c r="H47" s="27">
        <f>ROUND($H$11,4)</f>
        <v>0</v>
      </c>
      <c r="I47" s="24">
        <f t="shared" si="17"/>
        <v>0.3326</v>
      </c>
      <c r="J47" s="24">
        <f t="shared" si="18"/>
        <v>0.011706418219461723</v>
      </c>
      <c r="K47" s="29">
        <f t="shared" si="19"/>
        <v>0.3443</v>
      </c>
      <c r="L47" s="24">
        <f>L$11</f>
        <v>-0.1248</v>
      </c>
      <c r="M47" s="24">
        <f>M$11</f>
        <v>0.2362</v>
      </c>
      <c r="N47" s="175">
        <f t="shared" si="15"/>
        <v>0.4557</v>
      </c>
      <c r="O47" s="189">
        <v>0.5711</v>
      </c>
      <c r="P47" s="29">
        <f>ROUND(-INPUT!$B$74*DETAIL!N47,4)</f>
        <v>-0.0592</v>
      </c>
      <c r="Q47" s="29">
        <f>Q$17</f>
        <v>0</v>
      </c>
      <c r="R47" s="29" t="e">
        <f>ROUND((Q47+#REF!+N47)/(1-INPUT!$B$79)-(Q47+#REF!+N47),4)</f>
        <v>#REF!</v>
      </c>
      <c r="S47" s="29">
        <f>ROUND((Q47+P47+N47)/(1-INPUT!$B$79)-(Q47+P47+N47),4)</f>
        <v>0.011</v>
      </c>
      <c r="T47" s="130" t="e">
        <f>IF(ROUND(R47+Q47+#REF!+N47,2)&gt;(N47),ROUND(R47+Q47+#REF!+N47,2),ROUND(R47+Q47+#REF!+N47+0.01,2))</f>
        <v>#REF!</v>
      </c>
      <c r="U47" s="181">
        <f t="shared" si="16"/>
        <v>0.42</v>
      </c>
      <c r="V47" s="198">
        <v>0.61</v>
      </c>
    </row>
    <row r="48" spans="3:22" ht="14.25" thickBot="1" thickTop="1">
      <c r="C48" s="168"/>
      <c r="K48" s="30"/>
      <c r="N48" s="154"/>
      <c r="O48" s="190"/>
      <c r="P48" s="154"/>
      <c r="Q48" s="154"/>
      <c r="R48" s="154"/>
      <c r="S48" s="154"/>
      <c r="T48" s="153"/>
      <c r="V48" s="195"/>
    </row>
    <row r="49" spans="1:22" ht="14.25" thickBot="1" thickTop="1">
      <c r="A49" s="283" t="s">
        <v>170</v>
      </c>
      <c r="B49" s="286" t="s">
        <v>24</v>
      </c>
      <c r="C49" s="6" t="s">
        <v>12</v>
      </c>
      <c r="D49" s="22">
        <f>'CNTNR COST'!I47</f>
        <v>1.0632</v>
      </c>
      <c r="E49" s="10">
        <v>0</v>
      </c>
      <c r="F49" s="10">
        <f>+$F$9</f>
        <v>-0.0532</v>
      </c>
      <c r="G49" s="10">
        <f>G51*4</f>
        <v>0.0232</v>
      </c>
      <c r="H49" s="26">
        <f>ROUND($H$11*4,6)</f>
        <v>0</v>
      </c>
      <c r="I49" s="10">
        <f>ROUND(SUM(D49:H49),4)</f>
        <v>1.0332</v>
      </c>
      <c r="J49" s="10">
        <f>(I49/(1-$J$5))-I49</f>
        <v>0.03636521739130427</v>
      </c>
      <c r="K49" s="28">
        <f>ROUND(I49+J49,4)</f>
        <v>1.0696</v>
      </c>
      <c r="L49" s="10">
        <f>ROUND(L$11*4,4)</f>
        <v>-0.4992</v>
      </c>
      <c r="M49" s="10">
        <f>ROUND(M$11*4,4)</f>
        <v>0.9448</v>
      </c>
      <c r="N49" s="173">
        <f aca="true" t="shared" si="20" ref="N49:N57">ROUND(SUM(K49:M49),4)</f>
        <v>1.5152</v>
      </c>
      <c r="O49" s="187">
        <v>2.4601</v>
      </c>
      <c r="P49" s="28">
        <f>ROUND(-INPUT!$B$74*DETAIL!N49,4)</f>
        <v>-0.197</v>
      </c>
      <c r="Q49" s="28">
        <f>Q$9</f>
        <v>0</v>
      </c>
      <c r="R49" s="28" t="e">
        <f>ROUND((Q49+#REF!+N49)/(1-INPUT!$B$79)-(Q49+#REF!+N49),4)</f>
        <v>#REF!</v>
      </c>
      <c r="S49" s="28">
        <f>ROUND((Q49+P49+N49)/(1-INPUT!$B$79)-(Q49+P49+N49),4)</f>
        <v>0.0366</v>
      </c>
      <c r="T49" s="127" t="e">
        <f>IF(ROUND(R49+Q49+#REF!+N49,2)&gt;(N49),ROUND(R49+Q49+#REF!+N49,2),ROUND(N49+0.01,2))</f>
        <v>#REF!</v>
      </c>
      <c r="U49" s="179">
        <f aca="true" t="shared" si="21" ref="U49:U57">IF(ROUND(S49+Q49+P49+N49,2)&gt;(N49),ROUND(S49+Q49+P49+N49,2),ROUND(N49+0.01,2))</f>
        <v>1.53</v>
      </c>
      <c r="V49" s="196">
        <v>2.6</v>
      </c>
    </row>
    <row r="50" spans="1:22" ht="14.25" thickBot="1" thickTop="1">
      <c r="A50" s="284"/>
      <c r="B50" s="287"/>
      <c r="C50" s="6" t="s">
        <v>55</v>
      </c>
      <c r="D50" s="12">
        <f>'CNTNR COST'!I48</f>
        <v>0.5316</v>
      </c>
      <c r="E50" s="11">
        <v>0</v>
      </c>
      <c r="F50" s="11">
        <f>+$F$10</f>
        <v>-0.0299</v>
      </c>
      <c r="G50" s="11">
        <f>G51*2</f>
        <v>0.0116</v>
      </c>
      <c r="H50" s="15">
        <f>ROUND($H$11*2,6)</f>
        <v>0</v>
      </c>
      <c r="I50" s="11">
        <f aca="true" t="shared" si="22" ref="I50:I57">ROUND(SUM(D50:H50),4)</f>
        <v>0.5133</v>
      </c>
      <c r="J50" s="11">
        <f aca="true" t="shared" si="23" ref="J50:J57">(I50/(1-$J$5))-I50</f>
        <v>0.018066459627329223</v>
      </c>
      <c r="K50" s="14">
        <f aca="true" t="shared" si="24" ref="K50:K57">ROUND(I50+J50,4)</f>
        <v>0.5314</v>
      </c>
      <c r="L50" s="11">
        <f>ROUND(L$11*2,4)</f>
        <v>-0.2496</v>
      </c>
      <c r="M50" s="11">
        <f>ROUND(M$11*2,4)</f>
        <v>0.4724</v>
      </c>
      <c r="N50" s="174">
        <f t="shared" si="20"/>
        <v>0.7542</v>
      </c>
      <c r="O50" s="188">
        <v>1.2458</v>
      </c>
      <c r="P50" s="14">
        <f>ROUND(-INPUT!$B$74*DETAIL!N50,4)</f>
        <v>-0.098</v>
      </c>
      <c r="Q50" s="14">
        <f>Q$10</f>
        <v>0</v>
      </c>
      <c r="R50" s="14" t="e">
        <f>ROUND((Q50+#REF!+N50)/(1-INPUT!$B$79)-(Q50+#REF!+N50),4)</f>
        <v>#REF!</v>
      </c>
      <c r="S50" s="14">
        <f>ROUND((Q50+P50+N50)/(1-INPUT!$B$79)-(Q50+P50+N50),4)</f>
        <v>0.0182</v>
      </c>
      <c r="T50" s="128" t="e">
        <f>IF(ROUND(R50+Q50+#REF!+N50,2)&gt;(N50),ROUND(R50+Q50+#REF!+N50,2),ROUND(N50+0.01,2))</f>
        <v>#REF!</v>
      </c>
      <c r="U50" s="180">
        <f t="shared" si="21"/>
        <v>0.76</v>
      </c>
      <c r="V50" s="197">
        <v>1.31</v>
      </c>
    </row>
    <row r="51" spans="1:22" ht="14.25" thickBot="1" thickTop="1">
      <c r="A51" s="284"/>
      <c r="B51" s="287"/>
      <c r="C51" s="6" t="s">
        <v>14</v>
      </c>
      <c r="D51" s="12">
        <f>'CNTNR COST'!I49</f>
        <v>0.2658</v>
      </c>
      <c r="E51" s="11">
        <v>0</v>
      </c>
      <c r="F51" s="11">
        <f>+$F$11</f>
        <v>0.0401</v>
      </c>
      <c r="G51" s="15">
        <f>ROUND(COST_UPDATE_ADJ,4)</f>
        <v>0.0058</v>
      </c>
      <c r="H51" s="15">
        <f>Energy_Addon</f>
        <v>0</v>
      </c>
      <c r="I51" s="11">
        <f t="shared" si="22"/>
        <v>0.3117</v>
      </c>
      <c r="J51" s="11">
        <f t="shared" si="23"/>
        <v>0.010970807453416165</v>
      </c>
      <c r="K51" s="14">
        <f t="shared" si="24"/>
        <v>0.3227</v>
      </c>
      <c r="L51" s="11">
        <f>$L$11</f>
        <v>-0.1248</v>
      </c>
      <c r="M51" s="11">
        <f>$M$11</f>
        <v>0.2362</v>
      </c>
      <c r="N51" s="174">
        <f t="shared" si="20"/>
        <v>0.4341</v>
      </c>
      <c r="O51" s="188">
        <v>0.6534</v>
      </c>
      <c r="P51" s="14">
        <f>ROUND(-INPUT!$B$74*DETAIL!N51,4)</f>
        <v>-0.0564</v>
      </c>
      <c r="Q51" s="14">
        <f>Q$11</f>
        <v>0</v>
      </c>
      <c r="R51" s="126" t="e">
        <f>ROUND((Q51+#REF!+N51)/(1-INPUT!$B$79)-(Q51+#REF!+N51),4)</f>
        <v>#REF!</v>
      </c>
      <c r="S51" s="126">
        <f>ROUND((Q51+P51+N51)/(1-INPUT!$B$79)-(Q51+P51+N51),4)</f>
        <v>0.0105</v>
      </c>
      <c r="T51" s="129" t="e">
        <f>IF(ROUND(R51+Q51+#REF!+N51,2)&gt;(N51),ROUND(R51+Q51+#REF!+N51,2),ROUND(N51+0.01,2))</f>
        <v>#REF!</v>
      </c>
      <c r="U51" s="180">
        <f t="shared" si="21"/>
        <v>0.44</v>
      </c>
      <c r="V51" s="197">
        <v>0.68</v>
      </c>
    </row>
    <row r="52" spans="1:22" ht="14.25" thickBot="1" thickTop="1">
      <c r="A52" s="284"/>
      <c r="B52" s="287"/>
      <c r="C52" s="6" t="s">
        <v>15</v>
      </c>
      <c r="D52" s="12">
        <f>'CNTNR COST'!I50</f>
        <v>0.1329</v>
      </c>
      <c r="E52" s="11">
        <v>0</v>
      </c>
      <c r="F52" s="11">
        <f>+$F$12</f>
        <v>0.0256</v>
      </c>
      <c r="G52" s="15">
        <f>ROUND($G$11/2,4)</f>
        <v>0.0029</v>
      </c>
      <c r="H52" s="15">
        <f>ROUND($H$11/2,4)</f>
        <v>0</v>
      </c>
      <c r="I52" s="11">
        <f t="shared" si="22"/>
        <v>0.1614</v>
      </c>
      <c r="J52" s="11">
        <f t="shared" si="23"/>
        <v>0.005680745341614918</v>
      </c>
      <c r="K52" s="14">
        <f t="shared" si="24"/>
        <v>0.1671</v>
      </c>
      <c r="L52" s="11">
        <f>ROUND(L$11/2,4)</f>
        <v>-0.0624</v>
      </c>
      <c r="M52" s="11">
        <f>ROUND(M$11/2,4)</f>
        <v>0.1181</v>
      </c>
      <c r="N52" s="174">
        <f t="shared" si="20"/>
        <v>0.2228</v>
      </c>
      <c r="O52" s="188">
        <v>0.3722</v>
      </c>
      <c r="P52" s="14">
        <f>ROUND(-INPUT!$B$74*DETAIL!N52,4)</f>
        <v>-0.029</v>
      </c>
      <c r="Q52" s="14">
        <f>Q$12</f>
        <v>0</v>
      </c>
      <c r="R52" s="14" t="e">
        <f>ROUND((Q52+#REF!+N52)/(1-INPUT!$B$79)-(Q52+#REF!+N52),4)</f>
        <v>#REF!</v>
      </c>
      <c r="S52" s="14">
        <f>ROUND((Q52+P52+N52)/(1-INPUT!$B$79)-(Q52+P52+N52),4)</f>
        <v>0.0054</v>
      </c>
      <c r="T52" s="128" t="e">
        <f>IF(ROUND(R52+Q52+#REF!+N52,2)&gt;(N52),ROUND(R52+Q52+#REF!+N52,2),ROUND(N52+0.01,2))</f>
        <v>#REF!</v>
      </c>
      <c r="U52" s="180">
        <f t="shared" si="21"/>
        <v>0.23</v>
      </c>
      <c r="V52" s="197">
        <v>0.38</v>
      </c>
    </row>
    <row r="53" spans="1:22" ht="14.25" thickBot="1" thickTop="1">
      <c r="A53" s="284"/>
      <c r="B53" s="287"/>
      <c r="C53" s="6" t="s">
        <v>190</v>
      </c>
      <c r="D53" s="12">
        <f>'CNTNR COST'!I51</f>
        <v>0.1626</v>
      </c>
      <c r="E53" s="11">
        <v>0</v>
      </c>
      <c r="F53" s="11">
        <f>+$F$13</f>
        <v>0</v>
      </c>
      <c r="G53" s="15">
        <f>ROUND($G$11/32*12,4)</f>
        <v>0.0022</v>
      </c>
      <c r="H53" s="15">
        <f>ROUND($H$11/32*12,4)</f>
        <v>0</v>
      </c>
      <c r="I53" s="11">
        <f t="shared" si="22"/>
        <v>0.1648</v>
      </c>
      <c r="J53" s="11">
        <f t="shared" si="23"/>
        <v>0.005800414078674959</v>
      </c>
      <c r="K53" s="14">
        <f t="shared" si="24"/>
        <v>0.1706</v>
      </c>
      <c r="L53" s="11">
        <f>ROUND(L$11/32*12,4)</f>
        <v>-0.0468</v>
      </c>
      <c r="M53" s="11">
        <f>ROUND(M$11/32*12,4)</f>
        <v>0.0886</v>
      </c>
      <c r="N53" s="174">
        <f t="shared" si="20"/>
        <v>0.2124</v>
      </c>
      <c r="O53" s="188"/>
      <c r="P53" s="14">
        <f>ROUND(-INPUT!$B$74*DETAIL!N53,4)</f>
        <v>-0.0276</v>
      </c>
      <c r="Q53" s="14">
        <f>ROUND(Q$11/32*12,4)</f>
        <v>0</v>
      </c>
      <c r="R53" s="14"/>
      <c r="S53" s="14">
        <f>ROUND((Q53+P53+N53)/(1-INPUT!$B$79)-(Q53+P53+N53),4)</f>
        <v>0.0051</v>
      </c>
      <c r="T53" s="128"/>
      <c r="U53" s="180">
        <f t="shared" si="21"/>
        <v>0.22</v>
      </c>
      <c r="V53" s="197"/>
    </row>
    <row r="54" spans="1:22" ht="14.25" thickBot="1" thickTop="1">
      <c r="A54" s="284"/>
      <c r="B54" s="287"/>
      <c r="C54" s="6" t="s">
        <v>56</v>
      </c>
      <c r="D54" s="12">
        <f>'CNTNR COST'!I52</f>
        <v>0.1418</v>
      </c>
      <c r="E54" s="11">
        <v>0</v>
      </c>
      <c r="F54" s="11">
        <f>+$F$14</f>
        <v>0</v>
      </c>
      <c r="G54" s="15">
        <f>ROUND($G$11/32*10,4)</f>
        <v>0.0018</v>
      </c>
      <c r="H54" s="15">
        <f>ROUND($H$11/32*10,4)</f>
        <v>0</v>
      </c>
      <c r="I54" s="11">
        <f t="shared" si="22"/>
        <v>0.1436</v>
      </c>
      <c r="J54" s="11">
        <f t="shared" si="23"/>
        <v>0.005054244306418237</v>
      </c>
      <c r="K54" s="14">
        <f t="shared" si="24"/>
        <v>0.1487</v>
      </c>
      <c r="L54" s="11">
        <f>ROUND(L$11/32*10,4)</f>
        <v>-0.039</v>
      </c>
      <c r="M54" s="11">
        <f>ROUND(M$11/32*10,4)</f>
        <v>0.0738</v>
      </c>
      <c r="N54" s="174">
        <f t="shared" si="20"/>
        <v>0.1835</v>
      </c>
      <c r="O54" s="188">
        <v>0.2478</v>
      </c>
      <c r="P54" s="14">
        <f>ROUND(-INPUT!$B$74*DETAIL!N54,4)</f>
        <v>-0.0239</v>
      </c>
      <c r="Q54" s="14">
        <f>Q$14</f>
        <v>0</v>
      </c>
      <c r="R54" s="14" t="e">
        <f>ROUND((Q54+#REF!+N54)/(1-INPUT!$B$79)-(Q54+#REF!+N54),4)</f>
        <v>#REF!</v>
      </c>
      <c r="S54" s="14">
        <f>ROUND((Q54+P54+N54)/(1-INPUT!$B$79)-(Q54+P54+N54),4)</f>
        <v>0.0044</v>
      </c>
      <c r="T54" s="128" t="e">
        <f>IF(ROUND(R54+Q54+#REF!+N54,2)&gt;(N54),ROUND(R54+Q54+#REF!+N54,2),ROUND(N54+0.01,2))</f>
        <v>#REF!</v>
      </c>
      <c r="U54" s="180">
        <f t="shared" si="21"/>
        <v>0.19</v>
      </c>
      <c r="V54" s="197">
        <v>0.25</v>
      </c>
    </row>
    <row r="55" spans="1:22" ht="14.25" thickBot="1" thickTop="1">
      <c r="A55" s="284"/>
      <c r="B55" s="287"/>
      <c r="C55" s="6" t="s">
        <v>57</v>
      </c>
      <c r="D55" s="12">
        <f>'CNTNR COST'!I53</f>
        <v>0.0665</v>
      </c>
      <c r="E55" s="11">
        <v>0</v>
      </c>
      <c r="F55" s="11">
        <f>+$F$15</f>
        <v>0.0146</v>
      </c>
      <c r="G55" s="15">
        <f>ROUND($G$11/4,4)</f>
        <v>0.0015</v>
      </c>
      <c r="H55" s="15">
        <f>ROUND($H$11/4,4)</f>
        <v>0</v>
      </c>
      <c r="I55" s="11">
        <f t="shared" si="22"/>
        <v>0.0826</v>
      </c>
      <c r="J55" s="11">
        <f t="shared" si="23"/>
        <v>0.002907246376811598</v>
      </c>
      <c r="K55" s="14">
        <f t="shared" si="24"/>
        <v>0.0855</v>
      </c>
      <c r="L55" s="11">
        <f>ROUND(L$11/4,4)</f>
        <v>-0.0312</v>
      </c>
      <c r="M55" s="11">
        <f>ROUND(M$11/4,4)</f>
        <v>0.0591</v>
      </c>
      <c r="N55" s="174">
        <f t="shared" si="20"/>
        <v>0.1134</v>
      </c>
      <c r="O55" s="188">
        <v>0.1831</v>
      </c>
      <c r="P55" s="14">
        <f>ROUND(-INPUT!$B$74*DETAIL!N55,4)</f>
        <v>-0.0147</v>
      </c>
      <c r="Q55" s="14">
        <f>Q$15</f>
        <v>0</v>
      </c>
      <c r="R55" s="14" t="e">
        <f>ROUND((Q55+#REF!+N55)/(1-INPUT!$B$79)-(Q55+#REF!+N55),4)</f>
        <v>#REF!</v>
      </c>
      <c r="S55" s="14">
        <f>ROUND((Q55+P55+N55)/(1-INPUT!$B$79)-(Q55+P55+N55),4)</f>
        <v>0.0027</v>
      </c>
      <c r="T55" s="128" t="e">
        <f>IF(ROUND(R55+Q55+#REF!+N55,2)&gt;(N55),ROUND(R55+Q55+#REF!+N55,2),ROUND(N55+0.01,2))</f>
        <v>#REF!</v>
      </c>
      <c r="U55" s="180">
        <f t="shared" si="21"/>
        <v>0.12</v>
      </c>
      <c r="V55" s="197">
        <v>0.19</v>
      </c>
    </row>
    <row r="56" spans="1:22" ht="14.25" thickBot="1" thickTop="1">
      <c r="A56" s="284"/>
      <c r="B56" s="287"/>
      <c r="C56" s="6" t="s">
        <v>58</v>
      </c>
      <c r="D56" s="12">
        <f>'CNTNR COST'!I54</f>
        <v>0.0527</v>
      </c>
      <c r="E56" s="11">
        <v>0</v>
      </c>
      <c r="F56" s="11">
        <f>+$F$16</f>
        <v>0.0181</v>
      </c>
      <c r="G56" s="15">
        <f>ROUND($G$11/8,4)</f>
        <v>0.0007</v>
      </c>
      <c r="H56" s="15">
        <f>ROUND($H$11/8,4)</f>
        <v>0</v>
      </c>
      <c r="I56" s="11">
        <f t="shared" si="22"/>
        <v>0.0715</v>
      </c>
      <c r="J56" s="11">
        <f t="shared" si="23"/>
        <v>0.002516563146997927</v>
      </c>
      <c r="K56" s="14">
        <f t="shared" si="24"/>
        <v>0.074</v>
      </c>
      <c r="L56" s="11">
        <f>ROUND(L$11/8,4)</f>
        <v>-0.0156</v>
      </c>
      <c r="M56" s="11">
        <f>ROUND(M$11/8,4)</f>
        <v>0.0295</v>
      </c>
      <c r="N56" s="174">
        <f t="shared" si="20"/>
        <v>0.0879</v>
      </c>
      <c r="O56" s="188">
        <v>0.1221</v>
      </c>
      <c r="P56" s="14">
        <f>ROUND(-INPUT!$B$74*DETAIL!N56,4)</f>
        <v>-0.0114</v>
      </c>
      <c r="Q56" s="14">
        <f>Q$16</f>
        <v>0</v>
      </c>
      <c r="R56" s="14" t="e">
        <f>ROUND((Q56+#REF!+N56)/(1-INPUT!$B$79)-(Q56+#REF!+N56),4)</f>
        <v>#REF!</v>
      </c>
      <c r="S56" s="14">
        <f>ROUND((Q56+P56+N56)/(1-INPUT!$B$79)-(Q56+P56+N56),4)</f>
        <v>0.0021</v>
      </c>
      <c r="T56" s="128" t="e">
        <f>IF(ROUND(R56+Q56+#REF!+N56,2)&gt;(N56),ROUND(R56+Q56+#REF!+N56,2),ROUND(N56+0.01,2))</f>
        <v>#REF!</v>
      </c>
      <c r="U56" s="180">
        <f t="shared" si="21"/>
        <v>0.1</v>
      </c>
      <c r="V56" s="197">
        <v>0.13</v>
      </c>
    </row>
    <row r="57" spans="1:22" ht="14.25" thickBot="1" thickTop="1">
      <c r="A57" s="285"/>
      <c r="B57" s="288"/>
      <c r="C57" s="6" t="s">
        <v>78</v>
      </c>
      <c r="D57" s="23">
        <f>'CNTNR COST'!I55</f>
        <v>0.3032</v>
      </c>
      <c r="E57" s="24">
        <v>0</v>
      </c>
      <c r="F57" s="24">
        <f>+$F$17</f>
        <v>0.0217</v>
      </c>
      <c r="G57" s="27">
        <f>ROUND($G$11,4)</f>
        <v>0.0058</v>
      </c>
      <c r="H57" s="27">
        <f>ROUND($H$11,4)</f>
        <v>0</v>
      </c>
      <c r="I57" s="24">
        <f t="shared" si="22"/>
        <v>0.3307</v>
      </c>
      <c r="J57" s="24">
        <f t="shared" si="23"/>
        <v>0.011639544513457556</v>
      </c>
      <c r="K57" s="29">
        <f t="shared" si="24"/>
        <v>0.3423</v>
      </c>
      <c r="L57" s="24">
        <f>L$11</f>
        <v>-0.1248</v>
      </c>
      <c r="M57" s="24">
        <f>M$11</f>
        <v>0.2362</v>
      </c>
      <c r="N57" s="175">
        <f t="shared" si="20"/>
        <v>0.4537</v>
      </c>
      <c r="O57" s="189">
        <v>0.6519</v>
      </c>
      <c r="P57" s="29">
        <f>ROUND(-INPUT!$B$74*DETAIL!N57,4)</f>
        <v>-0.059</v>
      </c>
      <c r="Q57" s="29">
        <f>Q$17</f>
        <v>0</v>
      </c>
      <c r="R57" s="29" t="e">
        <f>ROUND((Q57+#REF!+N57)/(1-INPUT!$B$79)-(Q57+#REF!+N57),4)</f>
        <v>#REF!</v>
      </c>
      <c r="S57" s="29">
        <f>ROUND((Q57+P57+N57)/(1-INPUT!$B$79)-(Q57+P57+N57),4)</f>
        <v>0.011</v>
      </c>
      <c r="T57" s="130" t="e">
        <f>IF(ROUND(R57+Q57+#REF!+N57,2)&gt;(N57),ROUND(R57+Q57+#REF!+N57,2),ROUND(N57+0.01,2))</f>
        <v>#REF!</v>
      </c>
      <c r="U57" s="181">
        <f t="shared" si="21"/>
        <v>0.46</v>
      </c>
      <c r="V57" s="198">
        <v>0.68</v>
      </c>
    </row>
    <row r="58" spans="3:22" ht="14.25" thickBot="1" thickTop="1">
      <c r="C58" s="168"/>
      <c r="K58" s="30"/>
      <c r="N58" s="154"/>
      <c r="O58" s="190"/>
      <c r="P58" s="154"/>
      <c r="Q58" s="154"/>
      <c r="R58" s="154"/>
      <c r="S58" s="154"/>
      <c r="T58" s="153"/>
      <c r="V58" s="195"/>
    </row>
    <row r="59" spans="1:22" ht="14.25" thickBot="1" thickTop="1">
      <c r="A59" s="283" t="s">
        <v>175</v>
      </c>
      <c r="B59" s="286" t="s">
        <v>24</v>
      </c>
      <c r="C59" s="6" t="s">
        <v>12</v>
      </c>
      <c r="D59" s="22">
        <f>'CNTNR COST'!I57</f>
        <v>1.0632</v>
      </c>
      <c r="E59" s="10">
        <v>0</v>
      </c>
      <c r="F59" s="10">
        <f>+$F$9</f>
        <v>-0.0532</v>
      </c>
      <c r="G59" s="10">
        <f>G61*4</f>
        <v>0.0232</v>
      </c>
      <c r="H59" s="26">
        <f>ROUND($H$11*4,6)</f>
        <v>0</v>
      </c>
      <c r="I59" s="10">
        <f>ROUND(SUM(D59:H59),4)</f>
        <v>1.0332</v>
      </c>
      <c r="J59" s="10">
        <f>(I59/(1-$J$5))-I59</f>
        <v>0.03636521739130427</v>
      </c>
      <c r="K59" s="28">
        <f>ROUND(I59+J59,4)</f>
        <v>1.0696</v>
      </c>
      <c r="L59" s="10">
        <f>ROUND(L$11*4,4)</f>
        <v>-0.4992</v>
      </c>
      <c r="M59" s="10">
        <f>ROUND(M$11*4,4)</f>
        <v>0.9448</v>
      </c>
      <c r="N59" s="173">
        <f aca="true" t="shared" si="25" ref="N59:N67">ROUND(SUM(K59:M59),4)</f>
        <v>1.5152</v>
      </c>
      <c r="O59" s="187">
        <v>2.3013</v>
      </c>
      <c r="P59" s="28">
        <f>ROUND(-INPUT!$B$74*DETAIL!N59,4)</f>
        <v>-0.197</v>
      </c>
      <c r="Q59" s="28">
        <f>Q$9</f>
        <v>0</v>
      </c>
      <c r="R59" s="28" t="e">
        <f>ROUND((Q59+#REF!+N59)/(1-INPUT!$B$79)-(Q59+#REF!+N59),4)</f>
        <v>#REF!</v>
      </c>
      <c r="S59" s="28">
        <f>ROUND((Q59+P59+N59)/(1-INPUT!$B$79)-(Q59+P59+N59),4)</f>
        <v>0.0366</v>
      </c>
      <c r="T59" s="127" t="e">
        <f>IF(ROUND(R59+Q59+#REF!+N59,2)&gt;(N59),ROUND(R59+Q59+#REF!+N59,2),ROUND(N59+0.01,2))</f>
        <v>#REF!</v>
      </c>
      <c r="U59" s="179">
        <f aca="true" t="shared" si="26" ref="U59:U67">IF(ROUND(S59+Q59+P59+N59,2)&gt;(N59),ROUND(S59+Q59+P59+N59,2),ROUND(N59+0.01,2))</f>
        <v>1.53</v>
      </c>
      <c r="V59" s="196">
        <v>2.45</v>
      </c>
    </row>
    <row r="60" spans="1:22" ht="14.25" thickBot="1" thickTop="1">
      <c r="A60" s="284"/>
      <c r="B60" s="287"/>
      <c r="C60" s="6" t="s">
        <v>55</v>
      </c>
      <c r="D60" s="12">
        <f>'CNTNR COST'!I58</f>
        <v>0.5316</v>
      </c>
      <c r="E60" s="11">
        <v>0</v>
      </c>
      <c r="F60" s="11">
        <f>+$F$10</f>
        <v>-0.0299</v>
      </c>
      <c r="G60" s="11">
        <f>G61*2</f>
        <v>0.0116</v>
      </c>
      <c r="H60" s="15">
        <f>ROUND($H$11*2,6)</f>
        <v>0</v>
      </c>
      <c r="I60" s="11">
        <f aca="true" t="shared" si="27" ref="I60:I67">ROUND(SUM(D60:H60),4)</f>
        <v>0.5133</v>
      </c>
      <c r="J60" s="11">
        <f aca="true" t="shared" si="28" ref="J60:J67">(I60/(1-$J$5))-I60</f>
        <v>0.018066459627329223</v>
      </c>
      <c r="K60" s="14">
        <f aca="true" t="shared" si="29" ref="K60:K67">ROUND(I60+J60,4)</f>
        <v>0.5314</v>
      </c>
      <c r="L60" s="11">
        <f>ROUND(L$11*2,4)</f>
        <v>-0.2496</v>
      </c>
      <c r="M60" s="11">
        <f>ROUND(M$11*2,4)</f>
        <v>0.4724</v>
      </c>
      <c r="N60" s="174">
        <f t="shared" si="25"/>
        <v>0.7542</v>
      </c>
      <c r="O60" s="188">
        <v>1.1664</v>
      </c>
      <c r="P60" s="14">
        <f>ROUND(-INPUT!$B$74*DETAIL!N60,4)</f>
        <v>-0.098</v>
      </c>
      <c r="Q60" s="14">
        <f>Q$10</f>
        <v>0</v>
      </c>
      <c r="R60" s="14" t="e">
        <f>ROUND((Q60+#REF!+N60)/(1-INPUT!$B$79)-(Q60+#REF!+N60),4)</f>
        <v>#REF!</v>
      </c>
      <c r="S60" s="14">
        <f>ROUND((Q60+P60+N60)/(1-INPUT!$B$79)-(Q60+P60+N60),4)</f>
        <v>0.0182</v>
      </c>
      <c r="T60" s="128" t="e">
        <f>IF(ROUND(R60+Q60+#REF!+N60,2)&gt;(N60),ROUND(R60+Q60+#REF!+N60,2),ROUND(N60+0.01,2))</f>
        <v>#REF!</v>
      </c>
      <c r="U60" s="180">
        <f t="shared" si="26"/>
        <v>0.76</v>
      </c>
      <c r="V60" s="197">
        <v>1.24</v>
      </c>
    </row>
    <row r="61" spans="1:22" ht="14.25" thickBot="1" thickTop="1">
      <c r="A61" s="284"/>
      <c r="B61" s="287"/>
      <c r="C61" s="6" t="s">
        <v>14</v>
      </c>
      <c r="D61" s="12">
        <f>'CNTNR COST'!I59</f>
        <v>0.2658</v>
      </c>
      <c r="E61" s="11">
        <v>0</v>
      </c>
      <c r="F61" s="11">
        <f>+$F$11</f>
        <v>0.0401</v>
      </c>
      <c r="G61" s="15">
        <f>ROUND(COST_UPDATE_ADJ,4)</f>
        <v>0.0058</v>
      </c>
      <c r="H61" s="15">
        <f>Energy_Addon</f>
        <v>0</v>
      </c>
      <c r="I61" s="11">
        <f t="shared" si="27"/>
        <v>0.3117</v>
      </c>
      <c r="J61" s="11">
        <f t="shared" si="28"/>
        <v>0.010970807453416165</v>
      </c>
      <c r="K61" s="14">
        <f t="shared" si="29"/>
        <v>0.3227</v>
      </c>
      <c r="L61" s="11">
        <f>$L$11</f>
        <v>-0.1248</v>
      </c>
      <c r="M61" s="11">
        <f>$M$11</f>
        <v>0.2362</v>
      </c>
      <c r="N61" s="174">
        <f t="shared" si="25"/>
        <v>0.4341</v>
      </c>
      <c r="O61" s="188">
        <v>0.6137</v>
      </c>
      <c r="P61" s="14">
        <f>ROUND(-INPUT!$B$74*DETAIL!N61,4)</f>
        <v>-0.0564</v>
      </c>
      <c r="Q61" s="14">
        <f>Q$11</f>
        <v>0</v>
      </c>
      <c r="R61" s="126" t="e">
        <f>ROUND((Q61+#REF!+N61)/(1-INPUT!$B$79)-(Q61+#REF!+N61),4)</f>
        <v>#REF!</v>
      </c>
      <c r="S61" s="126">
        <f>ROUND((Q61+P61+N61)/(1-INPUT!$B$79)-(Q61+P61+N61),4)</f>
        <v>0.0105</v>
      </c>
      <c r="T61" s="129" t="e">
        <f>IF(ROUND(R61+Q61+#REF!+N61,2)&gt;(N61),ROUND(R61+Q61+#REF!+N61,2),ROUND(N61+0.01,2))</f>
        <v>#REF!</v>
      </c>
      <c r="U61" s="180">
        <f t="shared" si="26"/>
        <v>0.44</v>
      </c>
      <c r="V61" s="197">
        <v>0.65</v>
      </c>
    </row>
    <row r="62" spans="1:22" ht="14.25" thickBot="1" thickTop="1">
      <c r="A62" s="284"/>
      <c r="B62" s="287"/>
      <c r="C62" s="6" t="s">
        <v>15</v>
      </c>
      <c r="D62" s="12">
        <f>'CNTNR COST'!I60</f>
        <v>0.1329</v>
      </c>
      <c r="E62" s="11">
        <v>0</v>
      </c>
      <c r="F62" s="11">
        <f>+$F$12</f>
        <v>0.0256</v>
      </c>
      <c r="G62" s="15">
        <f>ROUND($G$11/2,4)</f>
        <v>0.0029</v>
      </c>
      <c r="H62" s="15">
        <f>ROUND($H$11/2,4)</f>
        <v>0</v>
      </c>
      <c r="I62" s="11">
        <f t="shared" si="27"/>
        <v>0.1614</v>
      </c>
      <c r="J62" s="11">
        <f t="shared" si="28"/>
        <v>0.005680745341614918</v>
      </c>
      <c r="K62" s="14">
        <f t="shared" si="29"/>
        <v>0.1671</v>
      </c>
      <c r="L62" s="11">
        <f>ROUND(L$11/2,4)</f>
        <v>-0.0624</v>
      </c>
      <c r="M62" s="11">
        <f>ROUND(M$11/2,4)</f>
        <v>0.1181</v>
      </c>
      <c r="N62" s="174">
        <f t="shared" si="25"/>
        <v>0.2228</v>
      </c>
      <c r="O62" s="188">
        <v>0.3523</v>
      </c>
      <c r="P62" s="14">
        <f>ROUND(-INPUT!$B$74*DETAIL!N62,4)</f>
        <v>-0.029</v>
      </c>
      <c r="Q62" s="14">
        <f>Q$12</f>
        <v>0</v>
      </c>
      <c r="R62" s="14" t="e">
        <f>ROUND((Q62+#REF!+N62)/(1-INPUT!$B$79)-(Q62+#REF!+N62),4)</f>
        <v>#REF!</v>
      </c>
      <c r="S62" s="14">
        <f>ROUND((Q62+P62+N62)/(1-INPUT!$B$79)-(Q62+P62+N62),4)</f>
        <v>0.0054</v>
      </c>
      <c r="T62" s="128" t="e">
        <f>IF(ROUND(R62+Q62+#REF!+N62,2)&gt;(N62),ROUND(R62+Q62+#REF!+N62,2),ROUND(N62+0.01,2))</f>
        <v>#REF!</v>
      </c>
      <c r="U62" s="180">
        <f t="shared" si="26"/>
        <v>0.23</v>
      </c>
      <c r="V62" s="197">
        <v>0.36</v>
      </c>
    </row>
    <row r="63" spans="1:22" ht="14.25" thickBot="1" thickTop="1">
      <c r="A63" s="284"/>
      <c r="B63" s="287"/>
      <c r="C63" s="6" t="s">
        <v>190</v>
      </c>
      <c r="D63" s="12">
        <f>'CNTNR COST'!I61</f>
        <v>0.1626</v>
      </c>
      <c r="E63" s="11">
        <v>0</v>
      </c>
      <c r="F63" s="11">
        <f>+$F$13</f>
        <v>0</v>
      </c>
      <c r="G63" s="15">
        <f>ROUND($G$11/32*12,4)</f>
        <v>0.0022</v>
      </c>
      <c r="H63" s="15">
        <f>ROUND($H$11/32*12,4)</f>
        <v>0</v>
      </c>
      <c r="I63" s="11">
        <f t="shared" si="27"/>
        <v>0.1648</v>
      </c>
      <c r="J63" s="11">
        <f t="shared" si="28"/>
        <v>0.005800414078674959</v>
      </c>
      <c r="K63" s="14">
        <f t="shared" si="29"/>
        <v>0.1706</v>
      </c>
      <c r="L63" s="11">
        <f>ROUND(L$11/32*12,4)</f>
        <v>-0.0468</v>
      </c>
      <c r="M63" s="11">
        <f>ROUND(M$11/32*12,4)</f>
        <v>0.0886</v>
      </c>
      <c r="N63" s="174">
        <f t="shared" si="25"/>
        <v>0.2124</v>
      </c>
      <c r="O63" s="188"/>
      <c r="P63" s="14">
        <f>ROUND(-INPUT!$B$74*DETAIL!N63,4)</f>
        <v>-0.0276</v>
      </c>
      <c r="Q63" s="14">
        <f>ROUND(Q$11/32*12,4)</f>
        <v>0</v>
      </c>
      <c r="R63" s="14"/>
      <c r="S63" s="14">
        <f>ROUND((Q63+P63+N63)/(1-INPUT!$B$79)-(Q63+P63+N63),4)</f>
        <v>0.0051</v>
      </c>
      <c r="T63" s="128"/>
      <c r="U63" s="180">
        <f t="shared" si="26"/>
        <v>0.22</v>
      </c>
      <c r="V63" s="197"/>
    </row>
    <row r="64" spans="1:22" ht="14.25" thickBot="1" thickTop="1">
      <c r="A64" s="284"/>
      <c r="B64" s="287"/>
      <c r="C64" s="6" t="s">
        <v>56</v>
      </c>
      <c r="D64" s="12">
        <f>'CNTNR COST'!I62</f>
        <v>0.1418</v>
      </c>
      <c r="E64" s="11">
        <v>0</v>
      </c>
      <c r="F64" s="11">
        <f>+$F$14</f>
        <v>0</v>
      </c>
      <c r="G64" s="15">
        <f>ROUND($G$11/32*10,4)</f>
        <v>0.0018</v>
      </c>
      <c r="H64" s="15">
        <f>ROUND($H$11/32*10,4)</f>
        <v>0</v>
      </c>
      <c r="I64" s="11">
        <f t="shared" si="27"/>
        <v>0.1436</v>
      </c>
      <c r="J64" s="11">
        <f t="shared" si="28"/>
        <v>0.005054244306418237</v>
      </c>
      <c r="K64" s="14">
        <f t="shared" si="29"/>
        <v>0.1487</v>
      </c>
      <c r="L64" s="11">
        <f>ROUND(L$11/32*10,4)</f>
        <v>-0.039</v>
      </c>
      <c r="M64" s="11">
        <f>ROUND(M$11/32*10,4)</f>
        <v>0.0738</v>
      </c>
      <c r="N64" s="174">
        <f t="shared" si="25"/>
        <v>0.1835</v>
      </c>
      <c r="O64" s="188">
        <v>0.2354</v>
      </c>
      <c r="P64" s="14">
        <f>ROUND(-INPUT!$B$74*DETAIL!N64,4)</f>
        <v>-0.0239</v>
      </c>
      <c r="Q64" s="14">
        <f>Q$14</f>
        <v>0</v>
      </c>
      <c r="R64" s="14" t="e">
        <f>ROUND((Q64+#REF!+N64)/(1-INPUT!$B$79)-(Q64+#REF!+N64),4)</f>
        <v>#REF!</v>
      </c>
      <c r="S64" s="14">
        <f>ROUND((Q64+P64+N64)/(1-INPUT!$B$79)-(Q64+P64+N64),4)</f>
        <v>0.0044</v>
      </c>
      <c r="T64" s="128" t="e">
        <f>IF(ROUND(R64+Q64+#REF!+N64,2)&gt;(N64),ROUND(R64+Q64+#REF!+N64,2),ROUND(N64+0.01,2))</f>
        <v>#REF!</v>
      </c>
      <c r="U64" s="180">
        <f t="shared" si="26"/>
        <v>0.19</v>
      </c>
      <c r="V64" s="197">
        <v>0.24</v>
      </c>
    </row>
    <row r="65" spans="1:22" ht="14.25" thickBot="1" thickTop="1">
      <c r="A65" s="284"/>
      <c r="B65" s="287"/>
      <c r="C65" s="6" t="s">
        <v>57</v>
      </c>
      <c r="D65" s="12">
        <f>'CNTNR COST'!I63</f>
        <v>0.0665</v>
      </c>
      <c r="E65" s="11">
        <v>0</v>
      </c>
      <c r="F65" s="11">
        <f>+$F$15</f>
        <v>0.0146</v>
      </c>
      <c r="G65" s="15">
        <f>ROUND($G$11/4,4)</f>
        <v>0.0015</v>
      </c>
      <c r="H65" s="15">
        <f>ROUND($H$11/4,4)</f>
        <v>0</v>
      </c>
      <c r="I65" s="11">
        <f t="shared" si="27"/>
        <v>0.0826</v>
      </c>
      <c r="J65" s="11">
        <f t="shared" si="28"/>
        <v>0.002907246376811598</v>
      </c>
      <c r="K65" s="14">
        <f t="shared" si="29"/>
        <v>0.0855</v>
      </c>
      <c r="L65" s="11">
        <f>ROUND(L$11/4,4)</f>
        <v>-0.0312</v>
      </c>
      <c r="M65" s="11">
        <f>ROUND(M$11/4,4)</f>
        <v>0.0591</v>
      </c>
      <c r="N65" s="174">
        <f t="shared" si="25"/>
        <v>0.1134</v>
      </c>
      <c r="O65" s="188">
        <v>0.1732</v>
      </c>
      <c r="P65" s="14">
        <f>ROUND(-INPUT!$B$74*DETAIL!N65,4)</f>
        <v>-0.0147</v>
      </c>
      <c r="Q65" s="14">
        <f>Q$15</f>
        <v>0</v>
      </c>
      <c r="R65" s="14" t="e">
        <f>ROUND((Q65+#REF!+N65)/(1-INPUT!$B$79)-(Q65+#REF!+N65),4)</f>
        <v>#REF!</v>
      </c>
      <c r="S65" s="14">
        <f>ROUND((Q65+P65+N65)/(1-INPUT!$B$79)-(Q65+P65+N65),4)</f>
        <v>0.0027</v>
      </c>
      <c r="T65" s="128" t="e">
        <f>IF(ROUND(R65+Q65+#REF!+N65,2)&gt;(N65),ROUND(R65+Q65+#REF!+N65,2),ROUND(N65+0.01,2))</f>
        <v>#REF!</v>
      </c>
      <c r="U65" s="180">
        <f t="shared" si="26"/>
        <v>0.12</v>
      </c>
      <c r="V65" s="197">
        <v>0.18</v>
      </c>
    </row>
    <row r="66" spans="1:22" ht="14.25" thickBot="1" thickTop="1">
      <c r="A66" s="284"/>
      <c r="B66" s="287"/>
      <c r="C66" s="6" t="s">
        <v>58</v>
      </c>
      <c r="D66" s="12">
        <f>'CNTNR COST'!I64</f>
        <v>0.0527</v>
      </c>
      <c r="E66" s="11">
        <v>0</v>
      </c>
      <c r="F66" s="11">
        <f>+$F$16</f>
        <v>0.0181</v>
      </c>
      <c r="G66" s="15">
        <f>ROUND($G$11/8,4)</f>
        <v>0.0007</v>
      </c>
      <c r="H66" s="15">
        <f>ROUND($H$11/8,4)</f>
        <v>0</v>
      </c>
      <c r="I66" s="11">
        <f t="shared" si="27"/>
        <v>0.0715</v>
      </c>
      <c r="J66" s="11">
        <f t="shared" si="28"/>
        <v>0.002516563146997927</v>
      </c>
      <c r="K66" s="14">
        <f t="shared" si="29"/>
        <v>0.074</v>
      </c>
      <c r="L66" s="11">
        <f>ROUND(L$11/8,4)</f>
        <v>-0.0156</v>
      </c>
      <c r="M66" s="11">
        <f>ROUND(M$11/8,4)</f>
        <v>0.0295</v>
      </c>
      <c r="N66" s="174">
        <f t="shared" si="25"/>
        <v>0.0879</v>
      </c>
      <c r="O66" s="188">
        <v>0.1171</v>
      </c>
      <c r="P66" s="14">
        <f>ROUND(-INPUT!$B$74*DETAIL!N66,4)</f>
        <v>-0.0114</v>
      </c>
      <c r="Q66" s="14">
        <f>Q$16</f>
        <v>0</v>
      </c>
      <c r="R66" s="14" t="e">
        <f>ROUND((Q66+#REF!+N66)/(1-INPUT!$B$79)-(Q66+#REF!+N66),4)</f>
        <v>#REF!</v>
      </c>
      <c r="S66" s="14">
        <f>ROUND((Q66+P66+N66)/(1-INPUT!$B$79)-(Q66+P66+N66),4)</f>
        <v>0.0021</v>
      </c>
      <c r="T66" s="128" t="e">
        <f>IF(ROUND(R66+Q66+#REF!+N66,2)&gt;(N66),ROUND(R66+Q66+#REF!+N66,2),ROUND(N66+0.01,2))</f>
        <v>#REF!</v>
      </c>
      <c r="U66" s="180">
        <f t="shared" si="26"/>
        <v>0.1</v>
      </c>
      <c r="V66" s="197">
        <v>0.12</v>
      </c>
    </row>
    <row r="67" spans="1:22" ht="14.25" thickBot="1" thickTop="1">
      <c r="A67" s="285"/>
      <c r="B67" s="288"/>
      <c r="C67" s="6" t="s">
        <v>78</v>
      </c>
      <c r="D67" s="23">
        <f>'CNTNR COST'!I65</f>
        <v>0.3032</v>
      </c>
      <c r="E67" s="24">
        <v>0</v>
      </c>
      <c r="F67" s="24">
        <f>+$F$17</f>
        <v>0.0217</v>
      </c>
      <c r="G67" s="27">
        <f>ROUND($G$11,4)</f>
        <v>0.0058</v>
      </c>
      <c r="H67" s="27">
        <f>ROUND($H$11,4)</f>
        <v>0</v>
      </c>
      <c r="I67" s="24">
        <f t="shared" si="27"/>
        <v>0.3307</v>
      </c>
      <c r="J67" s="24">
        <f t="shared" si="28"/>
        <v>0.011639544513457556</v>
      </c>
      <c r="K67" s="29">
        <f t="shared" si="29"/>
        <v>0.3423</v>
      </c>
      <c r="L67" s="24">
        <f>L$11</f>
        <v>-0.1248</v>
      </c>
      <c r="M67" s="24">
        <f>M$11</f>
        <v>0.2362</v>
      </c>
      <c r="N67" s="175">
        <f t="shared" si="25"/>
        <v>0.4537</v>
      </c>
      <c r="O67" s="189">
        <v>0.6122</v>
      </c>
      <c r="P67" s="29">
        <f>ROUND(-INPUT!$B$74*DETAIL!N67,4)</f>
        <v>-0.059</v>
      </c>
      <c r="Q67" s="29">
        <f>Q$17</f>
        <v>0</v>
      </c>
      <c r="R67" s="29" t="e">
        <f>ROUND((Q67+#REF!+N67)/(1-INPUT!$B$79)-(Q67+#REF!+N67),4)</f>
        <v>#REF!</v>
      </c>
      <c r="S67" s="29">
        <f>ROUND((Q67+P67+N67)/(1-INPUT!$B$79)-(Q67+P67+N67),4)</f>
        <v>0.011</v>
      </c>
      <c r="T67" s="130" t="e">
        <f>IF(ROUND(R67+Q67+#REF!+N67,2)&gt;(N67),ROUND(R67+Q67+#REF!+N67,2),ROUND(N67+0.01,2))</f>
        <v>#REF!</v>
      </c>
      <c r="U67" s="181">
        <f t="shared" si="26"/>
        <v>0.46</v>
      </c>
      <c r="V67" s="198">
        <v>0.65</v>
      </c>
    </row>
    <row r="68" spans="3:22" ht="14.25" thickBot="1" thickTop="1">
      <c r="C68" s="168"/>
      <c r="K68" s="30"/>
      <c r="N68" s="154"/>
      <c r="O68" s="190"/>
      <c r="P68" s="154"/>
      <c r="Q68" s="154"/>
      <c r="R68" s="154"/>
      <c r="S68" s="154"/>
      <c r="T68" s="153"/>
      <c r="V68" s="195"/>
    </row>
    <row r="69" spans="1:22" ht="14.25" thickBot="1" thickTop="1">
      <c r="A69" s="283" t="s">
        <v>175</v>
      </c>
      <c r="B69" s="286" t="s">
        <v>24</v>
      </c>
      <c r="C69" s="6" t="s">
        <v>12</v>
      </c>
      <c r="D69" s="22">
        <f>'CNTNR COST'!I67</f>
        <v>1.0632</v>
      </c>
      <c r="E69" s="10">
        <v>0</v>
      </c>
      <c r="F69" s="10">
        <f>+$F$9</f>
        <v>-0.0532</v>
      </c>
      <c r="G69" s="10">
        <f>G71*4</f>
        <v>0.0232</v>
      </c>
      <c r="H69" s="26">
        <f>ROUND($H$11*4,6)</f>
        <v>0</v>
      </c>
      <c r="I69" s="10">
        <f>ROUND(SUM(D69:H69),4)</f>
        <v>1.0332</v>
      </c>
      <c r="J69" s="10">
        <f>(I69/(1-$J$5))-I69</f>
        <v>0.03636521739130427</v>
      </c>
      <c r="K69" s="28">
        <f>ROUND(I69+J69,4)</f>
        <v>1.0696</v>
      </c>
      <c r="L69" s="10">
        <f>ROUND(L$11*4,4)</f>
        <v>-0.4992</v>
      </c>
      <c r="M69" s="10">
        <f>ROUND(M$11*4,4)</f>
        <v>0.9448</v>
      </c>
      <c r="N69" s="173">
        <f aca="true" t="shared" si="30" ref="N69:N77">ROUND(SUM(K69:M69),4)</f>
        <v>1.5152</v>
      </c>
      <c r="O69" s="187"/>
      <c r="P69" s="28">
        <f>ROUND(-INPUT!$B$74*DETAIL!N69,4)</f>
        <v>-0.197</v>
      </c>
      <c r="Q69" s="28">
        <f>Q$9</f>
        <v>0</v>
      </c>
      <c r="R69" s="28" t="e">
        <f>ROUND((Q69+#REF!+N69)/(1-INPUT!$B$79)-(Q69+#REF!+N69),4)</f>
        <v>#REF!</v>
      </c>
      <c r="S69" s="28">
        <f>ROUND((Q69+P69+N69)/(1-INPUT!$B$79)-(Q69+P69+N69),4)</f>
        <v>0.0366</v>
      </c>
      <c r="T69" s="127" t="e">
        <f>IF(ROUND(R69+Q69+#REF!+N69,2)&gt;(N69),ROUND(R69+Q69+#REF!+N69,2),ROUND(N69+0.01,2))</f>
        <v>#REF!</v>
      </c>
      <c r="U69" s="179">
        <f aca="true" t="shared" si="31" ref="U69:U77">IF(ROUND(S69+Q69+P69+N69,2)&gt;(N69),ROUND(S69+Q69+P69+N69,2),ROUND(N69+0.01,2))</f>
        <v>1.53</v>
      </c>
      <c r="V69" s="195"/>
    </row>
    <row r="70" spans="1:22" ht="14.25" thickBot="1" thickTop="1">
      <c r="A70" s="284"/>
      <c r="B70" s="287"/>
      <c r="C70" s="6" t="s">
        <v>55</v>
      </c>
      <c r="D70" s="12">
        <f>'CNTNR COST'!I68</f>
        <v>0.5316</v>
      </c>
      <c r="E70" s="11">
        <v>0</v>
      </c>
      <c r="F70" s="11">
        <f>+$F$10</f>
        <v>-0.0299</v>
      </c>
      <c r="G70" s="11">
        <f>G71*2</f>
        <v>0.0116</v>
      </c>
      <c r="H70" s="15">
        <f>ROUND($H$11*2,6)</f>
        <v>0</v>
      </c>
      <c r="I70" s="11">
        <f aca="true" t="shared" si="32" ref="I70:I77">ROUND(SUM(D70:H70),4)</f>
        <v>0.5133</v>
      </c>
      <c r="J70" s="11">
        <f aca="true" t="shared" si="33" ref="J70:J77">(I70/(1-$J$5))-I70</f>
        <v>0.018066459627329223</v>
      </c>
      <c r="K70" s="14">
        <f aca="true" t="shared" si="34" ref="K70:K77">ROUND(I70+J70,4)</f>
        <v>0.5314</v>
      </c>
      <c r="L70" s="11">
        <f>ROUND(L$11*2,4)</f>
        <v>-0.2496</v>
      </c>
      <c r="M70" s="11">
        <f>ROUND(M$11*2,4)</f>
        <v>0.4724</v>
      </c>
      <c r="N70" s="174">
        <f t="shared" si="30"/>
        <v>0.7542</v>
      </c>
      <c r="O70" s="188"/>
      <c r="P70" s="14">
        <f>ROUND(-INPUT!$B$74*DETAIL!N70,4)</f>
        <v>-0.098</v>
      </c>
      <c r="Q70" s="14">
        <f>Q$10</f>
        <v>0</v>
      </c>
      <c r="R70" s="14" t="e">
        <f>ROUND((Q70+#REF!+N70)/(1-INPUT!$B$79)-(Q70+#REF!+N70),4)</f>
        <v>#REF!</v>
      </c>
      <c r="S70" s="14">
        <f>ROUND((Q70+P70+N70)/(1-INPUT!$B$79)-(Q70+P70+N70),4)</f>
        <v>0.0182</v>
      </c>
      <c r="T70" s="128" t="e">
        <f>IF(ROUND(R70+Q70+#REF!+N70,2)&gt;(N70),ROUND(R70+Q70+#REF!+N70,2),ROUND(N70+0.01,2))</f>
        <v>#REF!</v>
      </c>
      <c r="U70" s="180">
        <f t="shared" si="31"/>
        <v>0.76</v>
      </c>
      <c r="V70" s="195"/>
    </row>
    <row r="71" spans="1:22" ht="14.25" thickBot="1" thickTop="1">
      <c r="A71" s="284"/>
      <c r="B71" s="287"/>
      <c r="C71" s="6" t="s">
        <v>14</v>
      </c>
      <c r="D71" s="12">
        <f>'CNTNR COST'!I69</f>
        <v>0.2658</v>
      </c>
      <c r="E71" s="11">
        <v>0</v>
      </c>
      <c r="F71" s="11">
        <f>+$F$11</f>
        <v>0.0401</v>
      </c>
      <c r="G71" s="15">
        <f>ROUND(COST_UPDATE_ADJ,4)</f>
        <v>0.0058</v>
      </c>
      <c r="H71" s="15">
        <f>Energy_Addon</f>
        <v>0</v>
      </c>
      <c r="I71" s="11">
        <f t="shared" si="32"/>
        <v>0.3117</v>
      </c>
      <c r="J71" s="11">
        <f t="shared" si="33"/>
        <v>0.010970807453416165</v>
      </c>
      <c r="K71" s="14">
        <f t="shared" si="34"/>
        <v>0.3227</v>
      </c>
      <c r="L71" s="11">
        <f>$L$11</f>
        <v>-0.1248</v>
      </c>
      <c r="M71" s="11">
        <f>$M$11</f>
        <v>0.2362</v>
      </c>
      <c r="N71" s="174">
        <f t="shared" si="30"/>
        <v>0.4341</v>
      </c>
      <c r="O71" s="188"/>
      <c r="P71" s="14">
        <f>ROUND(-INPUT!$B$74*DETAIL!N71,4)</f>
        <v>-0.0564</v>
      </c>
      <c r="Q71" s="14">
        <f>Q$11</f>
        <v>0</v>
      </c>
      <c r="R71" s="126" t="e">
        <f>ROUND((Q71+#REF!+N71)/(1-INPUT!$B$79)-(Q71+#REF!+N71),4)</f>
        <v>#REF!</v>
      </c>
      <c r="S71" s="126">
        <f>ROUND((Q71+P71+N71)/(1-INPUT!$B$79)-(Q71+P71+N71),4)</f>
        <v>0.0105</v>
      </c>
      <c r="T71" s="129" t="e">
        <f>IF(ROUND(R71+Q71+#REF!+N71,2)&gt;(N71),ROUND(R71+Q71+#REF!+N71,2),ROUND(N71+0.01,2))</f>
        <v>#REF!</v>
      </c>
      <c r="U71" s="180">
        <f t="shared" si="31"/>
        <v>0.44</v>
      </c>
      <c r="V71" s="195"/>
    </row>
    <row r="72" spans="1:22" ht="14.25" thickBot="1" thickTop="1">
      <c r="A72" s="284"/>
      <c r="B72" s="287"/>
      <c r="C72" s="6" t="s">
        <v>15</v>
      </c>
      <c r="D72" s="12">
        <f>'CNTNR COST'!I70</f>
        <v>0.1329</v>
      </c>
      <c r="E72" s="11">
        <v>0</v>
      </c>
      <c r="F72" s="11">
        <f>+$F$12</f>
        <v>0.0256</v>
      </c>
      <c r="G72" s="15">
        <f>ROUND($G$11/2,4)</f>
        <v>0.0029</v>
      </c>
      <c r="H72" s="15">
        <f>ROUND($H$11/2,4)</f>
        <v>0</v>
      </c>
      <c r="I72" s="11">
        <f t="shared" si="32"/>
        <v>0.1614</v>
      </c>
      <c r="J72" s="11">
        <f t="shared" si="33"/>
        <v>0.005680745341614918</v>
      </c>
      <c r="K72" s="14">
        <f t="shared" si="34"/>
        <v>0.1671</v>
      </c>
      <c r="L72" s="11">
        <f>ROUND(L$11/2,4)</f>
        <v>-0.0624</v>
      </c>
      <c r="M72" s="11">
        <f>ROUND(M$11/2,4)</f>
        <v>0.1181</v>
      </c>
      <c r="N72" s="174">
        <f t="shared" si="30"/>
        <v>0.2228</v>
      </c>
      <c r="O72" s="188"/>
      <c r="P72" s="14">
        <f>ROUND(-INPUT!$B$74*DETAIL!N72,4)</f>
        <v>-0.029</v>
      </c>
      <c r="Q72" s="14">
        <f>Q$12</f>
        <v>0</v>
      </c>
      <c r="R72" s="14" t="e">
        <f>ROUND((Q72+#REF!+N72)/(1-INPUT!$B$79)-(Q72+#REF!+N72),4)</f>
        <v>#REF!</v>
      </c>
      <c r="S72" s="14">
        <f>ROUND((Q72+P72+N72)/(1-INPUT!$B$79)-(Q72+P72+N72),4)</f>
        <v>0.0054</v>
      </c>
      <c r="T72" s="128" t="e">
        <f>IF(ROUND(R72+Q72+#REF!+N72,2)&gt;(N72),ROUND(R72+Q72+#REF!+N72,2),ROUND(N72+0.01,2))</f>
        <v>#REF!</v>
      </c>
      <c r="U72" s="180">
        <f t="shared" si="31"/>
        <v>0.23</v>
      </c>
      <c r="V72" s="195"/>
    </row>
    <row r="73" spans="1:22" ht="14.25" thickBot="1" thickTop="1">
      <c r="A73" s="284"/>
      <c r="B73" s="287"/>
      <c r="C73" s="6" t="s">
        <v>190</v>
      </c>
      <c r="D73" s="12">
        <f>'CNTNR COST'!I71</f>
        <v>0.1626</v>
      </c>
      <c r="E73" s="11">
        <v>0</v>
      </c>
      <c r="F73" s="11">
        <f>+$F$13</f>
        <v>0</v>
      </c>
      <c r="G73" s="15">
        <f>ROUND($G$11/32*12,4)</f>
        <v>0.0022</v>
      </c>
      <c r="H73" s="15">
        <f>ROUND($H$11/32*12,4)</f>
        <v>0</v>
      </c>
      <c r="I73" s="11">
        <f t="shared" si="32"/>
        <v>0.1648</v>
      </c>
      <c r="J73" s="11">
        <f t="shared" si="33"/>
        <v>0.005800414078674959</v>
      </c>
      <c r="K73" s="14">
        <f t="shared" si="34"/>
        <v>0.1706</v>
      </c>
      <c r="L73" s="11">
        <f>ROUND(L$11/32*12,4)</f>
        <v>-0.0468</v>
      </c>
      <c r="M73" s="11">
        <f>ROUND(M$11/32*12,4)</f>
        <v>0.0886</v>
      </c>
      <c r="N73" s="174">
        <f t="shared" si="30"/>
        <v>0.2124</v>
      </c>
      <c r="O73" s="188"/>
      <c r="P73" s="14">
        <f>ROUND(-INPUT!$B$74*DETAIL!N73,4)</f>
        <v>-0.0276</v>
      </c>
      <c r="Q73" s="14">
        <f>ROUND(Q$11/32*12,4)</f>
        <v>0</v>
      </c>
      <c r="R73" s="14"/>
      <c r="S73" s="14">
        <f>ROUND((Q73+P73+N73)/(1-INPUT!$B$79)-(Q73+P73+N73),4)</f>
        <v>0.0051</v>
      </c>
      <c r="T73" s="128"/>
      <c r="U73" s="180">
        <f t="shared" si="31"/>
        <v>0.22</v>
      </c>
      <c r="V73" s="195"/>
    </row>
    <row r="74" spans="1:22" ht="14.25" thickBot="1" thickTop="1">
      <c r="A74" s="284"/>
      <c r="B74" s="287"/>
      <c r="C74" s="6" t="s">
        <v>56</v>
      </c>
      <c r="D74" s="12">
        <f>'CNTNR COST'!I72</f>
        <v>0.1418</v>
      </c>
      <c r="E74" s="11">
        <v>0</v>
      </c>
      <c r="F74" s="11">
        <f>+$F$14</f>
        <v>0</v>
      </c>
      <c r="G74" s="15">
        <f>ROUND($G$11/32*10,4)</f>
        <v>0.0018</v>
      </c>
      <c r="H74" s="15">
        <f>ROUND($H$11/32*10,4)</f>
        <v>0</v>
      </c>
      <c r="I74" s="11">
        <f t="shared" si="32"/>
        <v>0.1436</v>
      </c>
      <c r="J74" s="11">
        <f t="shared" si="33"/>
        <v>0.005054244306418237</v>
      </c>
      <c r="K74" s="14">
        <f t="shared" si="34"/>
        <v>0.1487</v>
      </c>
      <c r="L74" s="11">
        <f>ROUND(L$11/32*10,4)</f>
        <v>-0.039</v>
      </c>
      <c r="M74" s="11">
        <f>ROUND(M$11/32*10,4)</f>
        <v>0.0738</v>
      </c>
      <c r="N74" s="174">
        <f t="shared" si="30"/>
        <v>0.1835</v>
      </c>
      <c r="O74" s="188"/>
      <c r="P74" s="14">
        <f>ROUND(-INPUT!$B$74*DETAIL!N74,4)</f>
        <v>-0.0239</v>
      </c>
      <c r="Q74" s="14">
        <f>Q$14</f>
        <v>0</v>
      </c>
      <c r="R74" s="14" t="e">
        <f>ROUND((Q74+#REF!+N74)/(1-INPUT!$B$79)-(Q74+#REF!+N74),4)</f>
        <v>#REF!</v>
      </c>
      <c r="S74" s="14">
        <f>ROUND((Q74+P74+N74)/(1-INPUT!$B$79)-(Q74+P74+N74),4)</f>
        <v>0.0044</v>
      </c>
      <c r="T74" s="128" t="e">
        <f>IF(ROUND(R74+Q74+#REF!+N74,2)&gt;(N74),ROUND(R74+Q74+#REF!+N74,2),ROUND(N74+0.01,2))</f>
        <v>#REF!</v>
      </c>
      <c r="U74" s="180">
        <f t="shared" si="31"/>
        <v>0.19</v>
      </c>
      <c r="V74" s="195"/>
    </row>
    <row r="75" spans="1:22" ht="14.25" thickBot="1" thickTop="1">
      <c r="A75" s="284"/>
      <c r="B75" s="287"/>
      <c r="C75" s="6" t="s">
        <v>57</v>
      </c>
      <c r="D75" s="12">
        <f>'CNTNR COST'!I73</f>
        <v>0.0665</v>
      </c>
      <c r="E75" s="11">
        <v>0</v>
      </c>
      <c r="F75" s="11">
        <f>+$F$15</f>
        <v>0.0146</v>
      </c>
      <c r="G75" s="15">
        <f>ROUND($G$11/4,4)</f>
        <v>0.0015</v>
      </c>
      <c r="H75" s="15">
        <f>ROUND($H$11/4,4)</f>
        <v>0</v>
      </c>
      <c r="I75" s="11">
        <f t="shared" si="32"/>
        <v>0.0826</v>
      </c>
      <c r="J75" s="11">
        <f t="shared" si="33"/>
        <v>0.002907246376811598</v>
      </c>
      <c r="K75" s="14">
        <f t="shared" si="34"/>
        <v>0.0855</v>
      </c>
      <c r="L75" s="11">
        <f>ROUND(L$11/4,4)</f>
        <v>-0.0312</v>
      </c>
      <c r="M75" s="11">
        <f>ROUND(M$11/4,4)</f>
        <v>0.0591</v>
      </c>
      <c r="N75" s="174">
        <f t="shared" si="30"/>
        <v>0.1134</v>
      </c>
      <c r="O75" s="188"/>
      <c r="P75" s="14">
        <f>ROUND(-INPUT!$B$74*DETAIL!N75,4)</f>
        <v>-0.0147</v>
      </c>
      <c r="Q75" s="14">
        <f>Q$15</f>
        <v>0</v>
      </c>
      <c r="R75" s="14" t="e">
        <f>ROUND((Q75+#REF!+N75)/(1-INPUT!$B$79)-(Q75+#REF!+N75),4)</f>
        <v>#REF!</v>
      </c>
      <c r="S75" s="14">
        <f>ROUND((Q75+P75+N75)/(1-INPUT!$B$79)-(Q75+P75+N75),4)</f>
        <v>0.0027</v>
      </c>
      <c r="T75" s="128" t="e">
        <f>IF(ROUND(R75+Q75+#REF!+N75,2)&gt;(N75),ROUND(R75+Q75+#REF!+N75,2),ROUND(N75+0.01,2))</f>
        <v>#REF!</v>
      </c>
      <c r="U75" s="180">
        <f t="shared" si="31"/>
        <v>0.12</v>
      </c>
      <c r="V75" s="195"/>
    </row>
    <row r="76" spans="1:22" ht="14.25" thickBot="1" thickTop="1">
      <c r="A76" s="284"/>
      <c r="B76" s="287"/>
      <c r="C76" s="6" t="s">
        <v>58</v>
      </c>
      <c r="D76" s="12">
        <f>'CNTNR COST'!I74</f>
        <v>0.0527</v>
      </c>
      <c r="E76" s="11">
        <v>0</v>
      </c>
      <c r="F76" s="11">
        <f>+$F$16</f>
        <v>0.0181</v>
      </c>
      <c r="G76" s="15">
        <f>ROUND($G$11/8,4)</f>
        <v>0.0007</v>
      </c>
      <c r="H76" s="15">
        <f>ROUND($H$11/8,4)</f>
        <v>0</v>
      </c>
      <c r="I76" s="11">
        <f t="shared" si="32"/>
        <v>0.0715</v>
      </c>
      <c r="J76" s="11">
        <f t="shared" si="33"/>
        <v>0.002516563146997927</v>
      </c>
      <c r="K76" s="14">
        <f t="shared" si="34"/>
        <v>0.074</v>
      </c>
      <c r="L76" s="11">
        <f>ROUND(L$11/8,4)</f>
        <v>-0.0156</v>
      </c>
      <c r="M76" s="11">
        <f>ROUND(M$11/8,4)</f>
        <v>0.0295</v>
      </c>
      <c r="N76" s="174">
        <f t="shared" si="30"/>
        <v>0.0879</v>
      </c>
      <c r="O76" s="188"/>
      <c r="P76" s="14">
        <f>ROUND(-INPUT!$B$74*DETAIL!N76,4)</f>
        <v>-0.0114</v>
      </c>
      <c r="Q76" s="14">
        <f>Q$16</f>
        <v>0</v>
      </c>
      <c r="R76" s="14" t="e">
        <f>ROUND((Q76+#REF!+N76)/(1-INPUT!$B$79)-(Q76+#REF!+N76),4)</f>
        <v>#REF!</v>
      </c>
      <c r="S76" s="14">
        <f>ROUND((Q76+P76+N76)/(1-INPUT!$B$79)-(Q76+P76+N76),4)</f>
        <v>0.0021</v>
      </c>
      <c r="T76" s="128" t="e">
        <f>IF(ROUND(R76+Q76+#REF!+N76,2)&gt;(N76),ROUND(R76+Q76+#REF!+N76,2),ROUND(N76+0.01,2))</f>
        <v>#REF!</v>
      </c>
      <c r="U76" s="180">
        <f t="shared" si="31"/>
        <v>0.1</v>
      </c>
      <c r="V76" s="195"/>
    </row>
    <row r="77" spans="1:22" ht="14.25" thickBot="1" thickTop="1">
      <c r="A77" s="285"/>
      <c r="B77" s="288"/>
      <c r="C77" s="6" t="s">
        <v>78</v>
      </c>
      <c r="D77" s="23">
        <f>'CNTNR COST'!I75</f>
        <v>0.3032</v>
      </c>
      <c r="E77" s="24">
        <v>0</v>
      </c>
      <c r="F77" s="24">
        <f>+$F$17</f>
        <v>0.0217</v>
      </c>
      <c r="G77" s="27">
        <f>ROUND($G$11,4)</f>
        <v>0.0058</v>
      </c>
      <c r="H77" s="27">
        <f>ROUND($H$11,4)</f>
        <v>0</v>
      </c>
      <c r="I77" s="24">
        <f t="shared" si="32"/>
        <v>0.3307</v>
      </c>
      <c r="J77" s="24">
        <f t="shared" si="33"/>
        <v>0.011639544513457556</v>
      </c>
      <c r="K77" s="29">
        <f t="shared" si="34"/>
        <v>0.3423</v>
      </c>
      <c r="L77" s="24">
        <f>L$11</f>
        <v>-0.1248</v>
      </c>
      <c r="M77" s="24">
        <f>M$11</f>
        <v>0.2362</v>
      </c>
      <c r="N77" s="175">
        <f t="shared" si="30"/>
        <v>0.4537</v>
      </c>
      <c r="O77" s="189"/>
      <c r="P77" s="29">
        <f>ROUND(-INPUT!$B$74*DETAIL!N77,4)</f>
        <v>-0.059</v>
      </c>
      <c r="Q77" s="29">
        <f>Q$17</f>
        <v>0</v>
      </c>
      <c r="R77" s="29" t="e">
        <f>ROUND((Q77+#REF!+N77)/(1-INPUT!$B$79)-(Q77+#REF!+N77),4)</f>
        <v>#REF!</v>
      </c>
      <c r="S77" s="29">
        <f>ROUND((Q77+P77+N77)/(1-INPUT!$B$79)-(Q77+P77+N77),4)</f>
        <v>0.011</v>
      </c>
      <c r="T77" s="130" t="e">
        <f>IF(ROUND(R77+Q77+#REF!+N77,2)&gt;(N77),ROUND(R77+Q77+#REF!+N77,2),ROUND(N77+0.01,2))</f>
        <v>#REF!</v>
      </c>
      <c r="U77" s="181">
        <f t="shared" si="31"/>
        <v>0.46</v>
      </c>
      <c r="V77" s="195"/>
    </row>
    <row r="78" spans="3:22" ht="14.25" thickBot="1" thickTop="1">
      <c r="C78" s="168"/>
      <c r="K78" s="30"/>
      <c r="N78" s="154"/>
      <c r="O78" s="190"/>
      <c r="P78" s="154"/>
      <c r="Q78" s="154"/>
      <c r="R78" s="154"/>
      <c r="S78" s="154"/>
      <c r="T78" s="153"/>
      <c r="V78" s="195"/>
    </row>
    <row r="79" spans="1:22" ht="14.25" thickBot="1" thickTop="1">
      <c r="A79" s="283" t="s">
        <v>26</v>
      </c>
      <c r="B79" s="292"/>
      <c r="C79" s="6" t="s">
        <v>12</v>
      </c>
      <c r="D79" s="22">
        <f>'CNTNR COST'!I77</f>
        <v>1.1233</v>
      </c>
      <c r="E79" s="10">
        <v>0</v>
      </c>
      <c r="F79" s="10">
        <f>+$F$9</f>
        <v>-0.0532</v>
      </c>
      <c r="G79" s="10">
        <f>G81*4</f>
        <v>0.0232</v>
      </c>
      <c r="H79" s="26">
        <f>ROUND($H$11*4,6)</f>
        <v>0</v>
      </c>
      <c r="I79" s="10">
        <f aca="true" t="shared" si="35" ref="I79:I87">ROUND(SUM(D79:H79),4)</f>
        <v>1.0933</v>
      </c>
      <c r="J79" s="10">
        <f>(I79/(1-$J$5))-I79</f>
        <v>0.03848053830227749</v>
      </c>
      <c r="K79" s="28">
        <f aca="true" t="shared" si="36" ref="K79:K87">ROUND(I79+J79,4)</f>
        <v>1.1318</v>
      </c>
      <c r="L79" s="10">
        <f>ROUND(L$11*4,4)</f>
        <v>-0.4992</v>
      </c>
      <c r="M79" s="10">
        <f>ROUND(M$11*4,4)</f>
        <v>0.9448</v>
      </c>
      <c r="N79" s="173">
        <f aca="true" t="shared" si="37" ref="N79:N87">ROUND(SUM(K79:M79),4)</f>
        <v>1.5774</v>
      </c>
      <c r="O79" s="187">
        <v>2.5213</v>
      </c>
      <c r="P79" s="28">
        <f>ROUND(-INPUT!$B$74*DETAIL!N79,4)</f>
        <v>-0.2051</v>
      </c>
      <c r="Q79" s="28">
        <f>Q$9</f>
        <v>0</v>
      </c>
      <c r="R79" s="28" t="e">
        <f>ROUND((Q79+#REF!+N79)/(1-INPUT!$B$79)-(Q79+#REF!+N79),4)</f>
        <v>#REF!</v>
      </c>
      <c r="S79" s="28">
        <f>ROUND((Q79+P79+N79)/(1-INPUT!$B$79)-(Q79+P79+N79),4)</f>
        <v>0.0381</v>
      </c>
      <c r="T79" s="127" t="e">
        <f>IF(ROUND(R79+Q79+#REF!+N79,2)&gt;(N79),ROUND(R79+Q79+#REF!+N79,2),ROUND(N79+0.01,2))</f>
        <v>#REF!</v>
      </c>
      <c r="U79" s="179">
        <f aca="true" t="shared" si="38" ref="U79:U87">IF(ROUND(S79+Q79+P79+N79,2)&gt;(N79),ROUND(S79+Q79+P79+N79,2),ROUND(N79+0.01,2))</f>
        <v>1.59</v>
      </c>
      <c r="V79" s="196">
        <v>2.65</v>
      </c>
    </row>
    <row r="80" spans="1:22" ht="14.25" thickBot="1" thickTop="1">
      <c r="A80" s="284"/>
      <c r="B80" s="293"/>
      <c r="C80" s="6" t="s">
        <v>55</v>
      </c>
      <c r="D80" s="12">
        <f>'CNTNR COST'!I78</f>
        <v>0.5616</v>
      </c>
      <c r="E80" s="11">
        <v>0</v>
      </c>
      <c r="F80" s="11">
        <f>+$F$10</f>
        <v>-0.0299</v>
      </c>
      <c r="G80" s="11">
        <f>G81*2</f>
        <v>0.0116</v>
      </c>
      <c r="H80" s="15">
        <f>ROUND($H$11*2,6)</f>
        <v>0</v>
      </c>
      <c r="I80" s="11">
        <f t="shared" si="35"/>
        <v>0.5433</v>
      </c>
      <c r="J80" s="11">
        <f aca="true" t="shared" si="39" ref="J80:J145">(I80/(1-$J$5))-I80</f>
        <v>0.019122360248447268</v>
      </c>
      <c r="K80" s="14">
        <f t="shared" si="36"/>
        <v>0.5624</v>
      </c>
      <c r="L80" s="11">
        <f>ROUND(L$11*2,4)</f>
        <v>-0.2496</v>
      </c>
      <c r="M80" s="11">
        <f>ROUND(M$11*2,4)</f>
        <v>0.4724</v>
      </c>
      <c r="N80" s="174">
        <f t="shared" si="37"/>
        <v>0.7852</v>
      </c>
      <c r="O80" s="188">
        <v>1.2764</v>
      </c>
      <c r="P80" s="14">
        <f>ROUND(-INPUT!$B$74*DETAIL!N80,4)</f>
        <v>-0.1021</v>
      </c>
      <c r="Q80" s="14">
        <f>Q$10</f>
        <v>0</v>
      </c>
      <c r="R80" s="14" t="e">
        <f>ROUND((Q80+#REF!+N80)/(1-INPUT!$B$79)-(Q80+#REF!+N80),4)</f>
        <v>#REF!</v>
      </c>
      <c r="S80" s="14">
        <f>ROUND((Q80+P80+N80)/(1-INPUT!$B$79)-(Q80+P80+N80),4)</f>
        <v>0.019</v>
      </c>
      <c r="T80" s="128" t="e">
        <f>IF(ROUND(R80+Q80+#REF!+N80,2)&gt;(N80),ROUND(R80+Q80+#REF!+N80,2),ROUND(N80+0.01,2))</f>
        <v>#REF!</v>
      </c>
      <c r="U80" s="180">
        <f t="shared" si="38"/>
        <v>0.8</v>
      </c>
      <c r="V80" s="197">
        <v>1.34</v>
      </c>
    </row>
    <row r="81" spans="1:22" ht="14.25" thickBot="1" thickTop="1">
      <c r="A81" s="284"/>
      <c r="B81" s="293"/>
      <c r="C81" s="6" t="s">
        <v>14</v>
      </c>
      <c r="D81" s="12">
        <f>'CNTNR COST'!I79</f>
        <v>0.2808</v>
      </c>
      <c r="E81" s="11">
        <v>0</v>
      </c>
      <c r="F81" s="11">
        <f>+$F$11</f>
        <v>0.0401</v>
      </c>
      <c r="G81" s="15">
        <f>ROUND(COST_UPDATE_ADJ,4)</f>
        <v>0.0058</v>
      </c>
      <c r="H81" s="15">
        <f>Energy_Addon</f>
        <v>0</v>
      </c>
      <c r="I81" s="11">
        <f t="shared" si="35"/>
        <v>0.3267</v>
      </c>
      <c r="J81" s="11">
        <f t="shared" si="39"/>
        <v>0.011498757763975187</v>
      </c>
      <c r="K81" s="14">
        <f t="shared" si="36"/>
        <v>0.3382</v>
      </c>
      <c r="L81" s="11">
        <f>$L$11</f>
        <v>-0.1248</v>
      </c>
      <c r="M81" s="11">
        <f>$M$11</f>
        <v>0.2362</v>
      </c>
      <c r="N81" s="174">
        <f t="shared" si="37"/>
        <v>0.4496</v>
      </c>
      <c r="O81" s="188">
        <v>0.6688</v>
      </c>
      <c r="P81" s="14">
        <f>ROUND(-INPUT!$B$74*DETAIL!N81,4)</f>
        <v>-0.0584</v>
      </c>
      <c r="Q81" s="14">
        <f>Q$11</f>
        <v>0</v>
      </c>
      <c r="R81" s="126" t="e">
        <f>ROUND((Q81+#REF!+N81)/(1-INPUT!$B$79)-(Q81+#REF!+N81),4)</f>
        <v>#REF!</v>
      </c>
      <c r="S81" s="126">
        <f>ROUND((Q81+P81+N81)/(1-INPUT!$B$79)-(Q81+P81+N81),4)</f>
        <v>0.0109</v>
      </c>
      <c r="T81" s="129" t="e">
        <f>IF(ROUND(R81+Q81+#REF!+N81,2)&gt;(N81),ROUND(R81+Q81+#REF!+N81,2),ROUND(N81+0.01,2))</f>
        <v>#REF!</v>
      </c>
      <c r="U81" s="180">
        <f t="shared" si="38"/>
        <v>0.46</v>
      </c>
      <c r="V81" s="197">
        <v>0.7</v>
      </c>
    </row>
    <row r="82" spans="1:22" ht="14.25" thickBot="1" thickTop="1">
      <c r="A82" s="284"/>
      <c r="B82" s="293"/>
      <c r="C82" s="6" t="s">
        <v>15</v>
      </c>
      <c r="D82" s="12">
        <f>'CNTNR COST'!I80</f>
        <v>0.1404</v>
      </c>
      <c r="E82" s="11">
        <v>0</v>
      </c>
      <c r="F82" s="11">
        <f>+$F$12</f>
        <v>0.0256</v>
      </c>
      <c r="G82" s="15">
        <f>ROUND($G$11/2,4)</f>
        <v>0.0029</v>
      </c>
      <c r="H82" s="15">
        <f>ROUND($H$11/2,4)</f>
        <v>0</v>
      </c>
      <c r="I82" s="11">
        <f t="shared" si="35"/>
        <v>0.1689</v>
      </c>
      <c r="J82" s="11">
        <f t="shared" si="39"/>
        <v>0.005944720496894429</v>
      </c>
      <c r="K82" s="14">
        <f t="shared" si="36"/>
        <v>0.1748</v>
      </c>
      <c r="L82" s="11">
        <f>ROUND(L$11/2,4)</f>
        <v>-0.0624</v>
      </c>
      <c r="M82" s="11">
        <f>ROUND(M$11/2,4)</f>
        <v>0.1181</v>
      </c>
      <c r="N82" s="174">
        <f t="shared" si="37"/>
        <v>0.2305</v>
      </c>
      <c r="O82" s="188">
        <v>0.3798</v>
      </c>
      <c r="P82" s="14">
        <f>ROUND(-INPUT!$B$74*DETAIL!N82,4)</f>
        <v>-0.03</v>
      </c>
      <c r="Q82" s="14">
        <f>Q$12</f>
        <v>0</v>
      </c>
      <c r="R82" s="14" t="e">
        <f>ROUND((Q82+#REF!+N82)/(1-INPUT!$B$79)-(Q82+#REF!+N82),4)</f>
        <v>#REF!</v>
      </c>
      <c r="S82" s="14">
        <f>ROUND((Q82+P82+N82)/(1-INPUT!$B$79)-(Q82+P82+N82),4)</f>
        <v>0.0056</v>
      </c>
      <c r="T82" s="128" t="e">
        <f>IF(ROUND(R82+Q82+#REF!+N82,2)&gt;(N82),ROUND(R82+Q82+#REF!+N82,2),ROUND(N82+0.01,2))</f>
        <v>#REF!</v>
      </c>
      <c r="U82" s="180">
        <f t="shared" si="38"/>
        <v>0.24</v>
      </c>
      <c r="V82" s="197">
        <v>0.39</v>
      </c>
    </row>
    <row r="83" spans="1:22" ht="14.25" thickBot="1" thickTop="1">
      <c r="A83" s="284"/>
      <c r="B83" s="293"/>
      <c r="C83" s="6" t="s">
        <v>190</v>
      </c>
      <c r="D83" s="12">
        <f>'CNTNR COST'!I81</f>
        <v>0.1683</v>
      </c>
      <c r="E83" s="11">
        <v>0</v>
      </c>
      <c r="F83" s="11">
        <f>+$F$13</f>
        <v>0</v>
      </c>
      <c r="G83" s="15">
        <f>ROUND($G$11/32*12,4)</f>
        <v>0.0022</v>
      </c>
      <c r="H83" s="15">
        <f>ROUND($H$11/32*12,4)</f>
        <v>0</v>
      </c>
      <c r="I83" s="11">
        <f t="shared" si="35"/>
        <v>0.1705</v>
      </c>
      <c r="J83" s="11">
        <f t="shared" si="39"/>
        <v>0.0060010351966873765</v>
      </c>
      <c r="K83" s="14">
        <f t="shared" si="36"/>
        <v>0.1765</v>
      </c>
      <c r="L83" s="11">
        <f>ROUND(L$11/32*12,4)</f>
        <v>-0.0468</v>
      </c>
      <c r="M83" s="11">
        <f>ROUND(M$11/32*12,4)</f>
        <v>0.0886</v>
      </c>
      <c r="N83" s="174">
        <f t="shared" si="37"/>
        <v>0.2183</v>
      </c>
      <c r="O83" s="188"/>
      <c r="P83" s="14">
        <f>ROUND(-INPUT!$B$74*DETAIL!N83,4)</f>
        <v>-0.0284</v>
      </c>
      <c r="Q83" s="14">
        <f>ROUND(Q$11/32*12,4)</f>
        <v>0</v>
      </c>
      <c r="R83" s="14"/>
      <c r="S83" s="14">
        <f>ROUND((Q83+P83+N83)/(1-INPUT!$B$79)-(Q83+P83+N83),4)</f>
        <v>0.0053</v>
      </c>
      <c r="T83" s="128"/>
      <c r="U83" s="180">
        <f t="shared" si="38"/>
        <v>0.23</v>
      </c>
      <c r="V83" s="197"/>
    </row>
    <row r="84" spans="1:22" ht="14.25" thickBot="1" thickTop="1">
      <c r="A84" s="284"/>
      <c r="B84" s="293"/>
      <c r="C84" s="6" t="s">
        <v>56</v>
      </c>
      <c r="D84" s="12">
        <f>'CNTNR COST'!I82</f>
        <v>0.1465</v>
      </c>
      <c r="E84" s="11">
        <v>0</v>
      </c>
      <c r="F84" s="11">
        <f>+$F$14</f>
        <v>0</v>
      </c>
      <c r="G84" s="15">
        <f>ROUND($G$11/32*10,4)</f>
        <v>0.0018</v>
      </c>
      <c r="H84" s="15">
        <f>ROUND($H$11/32*10,4)</f>
        <v>0</v>
      </c>
      <c r="I84" s="11">
        <f t="shared" si="35"/>
        <v>0.1483</v>
      </c>
      <c r="J84" s="11">
        <f t="shared" si="39"/>
        <v>0.005219668737060035</v>
      </c>
      <c r="K84" s="14">
        <f t="shared" si="36"/>
        <v>0.1535</v>
      </c>
      <c r="L84" s="11">
        <f>ROUND(L$11/32*10,4)</f>
        <v>-0.039</v>
      </c>
      <c r="M84" s="11">
        <f>ROUND(M$11/32*10,4)</f>
        <v>0.0738</v>
      </c>
      <c r="N84" s="174">
        <f t="shared" si="37"/>
        <v>0.1883</v>
      </c>
      <c r="O84" s="188">
        <v>0.2526</v>
      </c>
      <c r="P84" s="14">
        <f>ROUND(-INPUT!$B$74*DETAIL!N84,4)</f>
        <v>-0.0245</v>
      </c>
      <c r="Q84" s="14">
        <f>Q$14</f>
        <v>0</v>
      </c>
      <c r="R84" s="14" t="e">
        <f>ROUND((Q84+#REF!+N84)/(1-INPUT!$B$79)-(Q84+#REF!+N84),4)</f>
        <v>#REF!</v>
      </c>
      <c r="S84" s="14">
        <f>ROUND((Q84+P84+N84)/(1-INPUT!$B$79)-(Q84+P84+N84),4)</f>
        <v>0.0045</v>
      </c>
      <c r="T84" s="128" t="e">
        <f>IF(ROUND(R84+Q84+#REF!+N84,2)&gt;(N84),ROUND(R84+Q84+#REF!+N84,2),ROUND(N84+0.01,2))</f>
        <v>#REF!</v>
      </c>
      <c r="U84" s="180">
        <f t="shared" si="38"/>
        <v>0.2</v>
      </c>
      <c r="V84" s="197">
        <v>0.26</v>
      </c>
    </row>
    <row r="85" spans="1:22" ht="14.25" thickBot="1" thickTop="1">
      <c r="A85" s="284"/>
      <c r="B85" s="293"/>
      <c r="C85" s="6" t="s">
        <v>57</v>
      </c>
      <c r="D85" s="12">
        <f>'CNTNR COST'!I83</f>
        <v>0.0703</v>
      </c>
      <c r="E85" s="11">
        <v>0</v>
      </c>
      <c r="F85" s="11">
        <f>+$F$15</f>
        <v>0.0146</v>
      </c>
      <c r="G85" s="15">
        <f>ROUND($G$11/4,4)</f>
        <v>0.0015</v>
      </c>
      <c r="H85" s="15">
        <f>ROUND($H$11/4,4)</f>
        <v>0</v>
      </c>
      <c r="I85" s="11">
        <f t="shared" si="35"/>
        <v>0.0864</v>
      </c>
      <c r="J85" s="11">
        <f t="shared" si="39"/>
        <v>0.0030409937888198763</v>
      </c>
      <c r="K85" s="14">
        <f t="shared" si="36"/>
        <v>0.0894</v>
      </c>
      <c r="L85" s="11">
        <f>ROUND(L$11/4,4)</f>
        <v>-0.0312</v>
      </c>
      <c r="M85" s="11">
        <f>ROUND(M$11/4,4)</f>
        <v>0.0591</v>
      </c>
      <c r="N85" s="174">
        <f t="shared" si="37"/>
        <v>0.1173</v>
      </c>
      <c r="O85" s="188">
        <v>0.1869</v>
      </c>
      <c r="P85" s="14">
        <f>ROUND(-INPUT!$B$74*DETAIL!N85,4)</f>
        <v>-0.0152</v>
      </c>
      <c r="Q85" s="14">
        <f>Q$15</f>
        <v>0</v>
      </c>
      <c r="R85" s="14" t="e">
        <f>ROUND((Q85+#REF!+N85)/(1-INPUT!$B$79)-(Q85+#REF!+N85),4)</f>
        <v>#REF!</v>
      </c>
      <c r="S85" s="14">
        <f>ROUND((Q85+P85+N85)/(1-INPUT!$B$79)-(Q85+P85+N85),4)</f>
        <v>0.0028</v>
      </c>
      <c r="T85" s="128" t="e">
        <f>IF(ROUND(R85+Q85+#REF!+N85,2)&gt;(N85),ROUND(R85+Q85+#REF!+N85,2),ROUND(N85+0.01,2))</f>
        <v>#REF!</v>
      </c>
      <c r="U85" s="180">
        <f t="shared" si="38"/>
        <v>0.13</v>
      </c>
      <c r="V85" s="197">
        <v>0.19</v>
      </c>
    </row>
    <row r="86" spans="1:22" ht="14.25" thickBot="1" thickTop="1">
      <c r="A86" s="284"/>
      <c r="B86" s="293"/>
      <c r="C86" s="6" t="s">
        <v>58</v>
      </c>
      <c r="D86" s="12">
        <f>'CNTNR COST'!I84</f>
        <v>0.0546</v>
      </c>
      <c r="E86" s="11">
        <v>0</v>
      </c>
      <c r="F86" s="11">
        <f>+$F$16</f>
        <v>0.0181</v>
      </c>
      <c r="G86" s="15">
        <f>ROUND($G$11/8,4)</f>
        <v>0.0007</v>
      </c>
      <c r="H86" s="15">
        <f>ROUND($H$11/8,4)</f>
        <v>0</v>
      </c>
      <c r="I86" s="11">
        <f t="shared" si="35"/>
        <v>0.0734</v>
      </c>
      <c r="J86" s="11">
        <f t="shared" si="39"/>
        <v>0.0025834368530020663</v>
      </c>
      <c r="K86" s="14">
        <f t="shared" si="36"/>
        <v>0.076</v>
      </c>
      <c r="L86" s="11">
        <f>ROUND(L$11/8,4)</f>
        <v>-0.0156</v>
      </c>
      <c r="M86" s="11">
        <f>ROUND(M$11/8,4)</f>
        <v>0.0295</v>
      </c>
      <c r="N86" s="174">
        <f t="shared" si="37"/>
        <v>0.0899</v>
      </c>
      <c r="O86" s="188">
        <v>0.124</v>
      </c>
      <c r="P86" s="14">
        <f>ROUND(-INPUT!$B$74*DETAIL!N86,4)</f>
        <v>-0.0117</v>
      </c>
      <c r="Q86" s="14">
        <f>Q$16</f>
        <v>0</v>
      </c>
      <c r="R86" s="14" t="e">
        <f>ROUND((Q86+#REF!+N86)/(1-INPUT!$B$79)-(Q86+#REF!+N86),4)</f>
        <v>#REF!</v>
      </c>
      <c r="S86" s="14">
        <f>ROUND((Q86+P86+N86)/(1-INPUT!$B$79)-(Q86+P86+N86),4)</f>
        <v>0.0022</v>
      </c>
      <c r="T86" s="128" t="e">
        <f>IF(ROUND(R86+Q86+#REF!+N86,2)&gt;(N86),ROUND(R86+Q86+#REF!+N86,2),ROUND(N86+0.01,2))</f>
        <v>#REF!</v>
      </c>
      <c r="U86" s="180">
        <f t="shared" si="38"/>
        <v>0.1</v>
      </c>
      <c r="V86" s="197">
        <v>0.13</v>
      </c>
    </row>
    <row r="87" spans="1:22" ht="14.25" thickBot="1" thickTop="1">
      <c r="A87" s="285"/>
      <c r="B87" s="294"/>
      <c r="C87" s="6" t="s">
        <v>78</v>
      </c>
      <c r="D87" s="23">
        <f>'CNTNR COST'!I85</f>
        <v>0.3182</v>
      </c>
      <c r="E87" s="24">
        <v>0</v>
      </c>
      <c r="F87" s="24">
        <f>+$F$17</f>
        <v>0.0217</v>
      </c>
      <c r="G87" s="27">
        <f>ROUND($G$11,4)</f>
        <v>0.0058</v>
      </c>
      <c r="H87" s="27">
        <f>ROUND($H$11,4)</f>
        <v>0</v>
      </c>
      <c r="I87" s="24">
        <f t="shared" si="35"/>
        <v>0.3457</v>
      </c>
      <c r="J87" s="24">
        <f t="shared" si="39"/>
        <v>0.012167494824016578</v>
      </c>
      <c r="K87" s="29">
        <f t="shared" si="36"/>
        <v>0.3579</v>
      </c>
      <c r="L87" s="24">
        <f>L$11</f>
        <v>-0.1248</v>
      </c>
      <c r="M87" s="24">
        <f>M$11</f>
        <v>0.2362</v>
      </c>
      <c r="N87" s="175">
        <f t="shared" si="37"/>
        <v>0.4693</v>
      </c>
      <c r="O87" s="189">
        <v>0.6672</v>
      </c>
      <c r="P87" s="29">
        <f>ROUND(-INPUT!$B$74*DETAIL!N87,4)</f>
        <v>-0.061</v>
      </c>
      <c r="Q87" s="29">
        <f>Q$17</f>
        <v>0</v>
      </c>
      <c r="R87" s="29" t="e">
        <f>ROUND((Q87+#REF!+N87)/(1-INPUT!$B$79)-(Q87+#REF!+N87),4)</f>
        <v>#REF!</v>
      </c>
      <c r="S87" s="29">
        <f>ROUND((Q87+P87+N87)/(1-INPUT!$B$79)-(Q87+P87+N87),4)</f>
        <v>0.0113</v>
      </c>
      <c r="T87" s="130" t="e">
        <f>IF(ROUND(R87+Q87+#REF!+N87,2)&gt;(N87),ROUND(R87+Q87+#REF!+N87,2),ROUND(N87+0.01,2))</f>
        <v>#REF!</v>
      </c>
      <c r="U87" s="181">
        <f t="shared" si="38"/>
        <v>0.48</v>
      </c>
      <c r="V87" s="198">
        <v>0.7</v>
      </c>
    </row>
    <row r="88" spans="1:22" ht="14.25" thickBot="1" thickTop="1">
      <c r="A88" s="166"/>
      <c r="B88" s="167"/>
      <c r="C88" s="168"/>
      <c r="K88" s="30"/>
      <c r="N88" s="154"/>
      <c r="O88" s="190"/>
      <c r="P88" s="154"/>
      <c r="Q88" s="154"/>
      <c r="R88" s="154"/>
      <c r="S88" s="154"/>
      <c r="T88" s="153"/>
      <c r="V88" s="195"/>
    </row>
    <row r="89" spans="1:22" ht="14.25" thickBot="1" thickTop="1">
      <c r="A89" s="283" t="s">
        <v>158</v>
      </c>
      <c r="B89" s="292"/>
      <c r="C89" s="6" t="s">
        <v>12</v>
      </c>
      <c r="D89" s="22">
        <f>'CNTNR COST'!I87</f>
        <v>2.212</v>
      </c>
      <c r="E89" s="10">
        <v>0</v>
      </c>
      <c r="F89" s="10">
        <f>+$F$9</f>
        <v>-0.0532</v>
      </c>
      <c r="G89" s="10">
        <f>G91*4</f>
        <v>0.0232</v>
      </c>
      <c r="H89" s="26">
        <f>ROUND($H$11*4,6)</f>
        <v>0</v>
      </c>
      <c r="I89" s="10">
        <f aca="true" t="shared" si="40" ref="I89:I97">ROUND(SUM(D89:H89),4)</f>
        <v>2.182</v>
      </c>
      <c r="J89" s="10">
        <f>(I89/(1-$J$5))-I89</f>
        <v>0.07679917184265017</v>
      </c>
      <c r="K89" s="28">
        <f aca="true" t="shared" si="41" ref="K89:K97">ROUND(I89+J89,4)</f>
        <v>2.2588</v>
      </c>
      <c r="L89" s="10">
        <f>ROUND(L$11*4,4)</f>
        <v>-0.4992</v>
      </c>
      <c r="M89" s="10">
        <f>ROUND(M$11*4,4)</f>
        <v>0.9448</v>
      </c>
      <c r="N89" s="173">
        <f aca="true" t="shared" si="42" ref="N89:N97">ROUND(SUM(K89:M89),4)</f>
        <v>2.7044</v>
      </c>
      <c r="O89" s="187"/>
      <c r="P89" s="28">
        <f>ROUND(-INPUT!$B$74*DETAIL!N89,4)</f>
        <v>-0.3516</v>
      </c>
      <c r="Q89" s="28">
        <f>Q$9</f>
        <v>0</v>
      </c>
      <c r="R89" s="28" t="e">
        <f>ROUND((Q89+#REF!+N89)/(1-INPUT!$B$79)-(Q89+#REF!+N89),4)</f>
        <v>#REF!</v>
      </c>
      <c r="S89" s="28">
        <f>ROUND((Q89+P89+N89)/(1-INPUT!$B$79)-(Q89+P89+N89),4)</f>
        <v>0.0653</v>
      </c>
      <c r="T89" s="127" t="e">
        <f>IF(ROUND(R89+Q89+#REF!+N89,2)&gt;(N89),ROUND(R89+Q89+#REF!+N89,2),ROUND(N89+0.01,2))</f>
        <v>#REF!</v>
      </c>
      <c r="U89" s="179">
        <f aca="true" t="shared" si="43" ref="U89:U97">IF(ROUND(S89+Q89+P89+N89,2)&gt;(N89),ROUND(S89+Q89+P89+N89,2),ROUND(N89+0.01,2))</f>
        <v>2.71</v>
      </c>
      <c r="V89" s="196"/>
    </row>
    <row r="90" spans="1:22" ht="14.25" thickBot="1" thickTop="1">
      <c r="A90" s="284"/>
      <c r="B90" s="293"/>
      <c r="C90" s="6" t="s">
        <v>55</v>
      </c>
      <c r="D90" s="12">
        <f>'CNTNR COST'!I88</f>
        <v>1.106</v>
      </c>
      <c r="E90" s="11">
        <v>0</v>
      </c>
      <c r="F90" s="11">
        <f>+$F$10</f>
        <v>-0.0299</v>
      </c>
      <c r="G90" s="11">
        <f>G91*2</f>
        <v>0.0116</v>
      </c>
      <c r="H90" s="15">
        <f>ROUND($H$11*2,6)</f>
        <v>0</v>
      </c>
      <c r="I90" s="11">
        <f t="shared" si="40"/>
        <v>1.0877</v>
      </c>
      <c r="J90" s="11">
        <f t="shared" si="39"/>
        <v>0.03828343685300206</v>
      </c>
      <c r="K90" s="14">
        <f t="shared" si="41"/>
        <v>1.126</v>
      </c>
      <c r="L90" s="11">
        <f>ROUND(L$11*2,4)</f>
        <v>-0.2496</v>
      </c>
      <c r="M90" s="11">
        <f>ROUND(M$11*2,4)</f>
        <v>0.4724</v>
      </c>
      <c r="N90" s="174">
        <f t="shared" si="42"/>
        <v>1.3488</v>
      </c>
      <c r="O90" s="188"/>
      <c r="P90" s="14">
        <f>ROUND(-INPUT!$B$74*DETAIL!N90,4)</f>
        <v>-0.1753</v>
      </c>
      <c r="Q90" s="14">
        <f>Q$10</f>
        <v>0</v>
      </c>
      <c r="R90" s="14" t="e">
        <f>ROUND((Q90+#REF!+N90)/(1-INPUT!$B$79)-(Q90+#REF!+N90),4)</f>
        <v>#REF!</v>
      </c>
      <c r="S90" s="14">
        <f>ROUND((Q90+P90+N90)/(1-INPUT!$B$79)-(Q90+P90+N90),4)</f>
        <v>0.0326</v>
      </c>
      <c r="T90" s="128" t="e">
        <f>IF(ROUND(R90+Q90+#REF!+N90,2)&gt;(N90),ROUND(R90+Q90+#REF!+N90,2),ROUND(N90+0.01,2))</f>
        <v>#REF!</v>
      </c>
      <c r="U90" s="180">
        <f t="shared" si="43"/>
        <v>1.36</v>
      </c>
      <c r="V90" s="197"/>
    </row>
    <row r="91" spans="1:22" ht="14.25" thickBot="1" thickTop="1">
      <c r="A91" s="284"/>
      <c r="B91" s="293"/>
      <c r="C91" s="6" t="s">
        <v>14</v>
      </c>
      <c r="D91" s="12">
        <f>'CNTNR COST'!I89</f>
        <v>0.553</v>
      </c>
      <c r="E91" s="11">
        <v>0</v>
      </c>
      <c r="F91" s="11">
        <f>+$F$11</f>
        <v>0.0401</v>
      </c>
      <c r="G91" s="15">
        <f>ROUND(COST_UPDATE_ADJ,4)</f>
        <v>0.0058</v>
      </c>
      <c r="H91" s="15">
        <f>Energy_Addon</f>
        <v>0</v>
      </c>
      <c r="I91" s="11">
        <f t="shared" si="40"/>
        <v>0.5989</v>
      </c>
      <c r="J91" s="11">
        <f t="shared" si="39"/>
        <v>0.021079296066252584</v>
      </c>
      <c r="K91" s="14">
        <f t="shared" si="41"/>
        <v>0.62</v>
      </c>
      <c r="L91" s="11">
        <f>$L$11</f>
        <v>-0.1248</v>
      </c>
      <c r="M91" s="11">
        <f>$M$11</f>
        <v>0.2362</v>
      </c>
      <c r="N91" s="174">
        <f t="shared" si="42"/>
        <v>0.7314</v>
      </c>
      <c r="O91" s="188"/>
      <c r="P91" s="14">
        <f>ROUND(-INPUT!$B$74*DETAIL!N91,4)</f>
        <v>-0.0951</v>
      </c>
      <c r="Q91" s="14">
        <f>Q$11</f>
        <v>0</v>
      </c>
      <c r="R91" s="126" t="e">
        <f>ROUND((Q91+#REF!+N91)/(1-INPUT!$B$79)-(Q91+#REF!+N91),4)</f>
        <v>#REF!</v>
      </c>
      <c r="S91" s="126">
        <f>ROUND((Q91+P91+N91)/(1-INPUT!$B$79)-(Q91+P91+N91),4)</f>
        <v>0.0177</v>
      </c>
      <c r="T91" s="129" t="e">
        <f>IF(ROUND(R91+Q91+#REF!+N91,2)&gt;(N91),ROUND(R91+Q91+#REF!+N91,2),ROUND(N91+0.01,2))</f>
        <v>#REF!</v>
      </c>
      <c r="U91" s="180">
        <f t="shared" si="43"/>
        <v>0.74</v>
      </c>
      <c r="V91" s="197"/>
    </row>
    <row r="92" spans="1:22" ht="14.25" thickBot="1" thickTop="1">
      <c r="A92" s="284"/>
      <c r="B92" s="293"/>
      <c r="C92" s="6" t="s">
        <v>15</v>
      </c>
      <c r="D92" s="12">
        <f>'CNTNR COST'!I90</f>
        <v>0.2765</v>
      </c>
      <c r="E92" s="11">
        <v>0</v>
      </c>
      <c r="F92" s="11">
        <f>+$F$12</f>
        <v>0.0256</v>
      </c>
      <c r="G92" s="15">
        <f>ROUND($G$11/2,4)</f>
        <v>0.0029</v>
      </c>
      <c r="H92" s="15">
        <f>ROUND($H$11/2,4)</f>
        <v>0</v>
      </c>
      <c r="I92" s="11">
        <f t="shared" si="40"/>
        <v>0.305</v>
      </c>
      <c r="J92" s="11">
        <f t="shared" si="39"/>
        <v>0.010734989648033155</v>
      </c>
      <c r="K92" s="14">
        <f t="shared" si="41"/>
        <v>0.3157</v>
      </c>
      <c r="L92" s="11">
        <f>ROUND(L$11/2,4)</f>
        <v>-0.0624</v>
      </c>
      <c r="M92" s="11">
        <f>ROUND(M$11/2,4)</f>
        <v>0.1181</v>
      </c>
      <c r="N92" s="174">
        <f t="shared" si="42"/>
        <v>0.3714</v>
      </c>
      <c r="O92" s="188"/>
      <c r="P92" s="14">
        <f>ROUND(-INPUT!$B$74*DETAIL!N92,4)</f>
        <v>-0.0483</v>
      </c>
      <c r="Q92" s="14">
        <f>Q$12</f>
        <v>0</v>
      </c>
      <c r="R92" s="14" t="e">
        <f>ROUND((Q92+#REF!+N92)/(1-INPUT!$B$79)-(Q92+#REF!+N92),4)</f>
        <v>#REF!</v>
      </c>
      <c r="S92" s="14">
        <f>ROUND((Q92+P92+N92)/(1-INPUT!$B$79)-(Q92+P92+N92),4)</f>
        <v>0.009</v>
      </c>
      <c r="T92" s="128" t="e">
        <f>IF(ROUND(R92+Q92+#REF!+N92,2)&gt;(N92),ROUND(R92+Q92+#REF!+N92,2),ROUND(N92+0.01,2))</f>
        <v>#REF!</v>
      </c>
      <c r="U92" s="180">
        <f t="shared" si="43"/>
        <v>0.38</v>
      </c>
      <c r="V92" s="197"/>
    </row>
    <row r="93" spans="1:22" ht="14.25" thickBot="1" thickTop="1">
      <c r="A93" s="284"/>
      <c r="B93" s="293"/>
      <c r="C93" s="6" t="s">
        <v>190</v>
      </c>
      <c r="D93" s="12">
        <f>'CNTNR COST'!I91</f>
        <v>0.2704</v>
      </c>
      <c r="E93" s="11">
        <v>0</v>
      </c>
      <c r="F93" s="11">
        <f>+$F$13</f>
        <v>0</v>
      </c>
      <c r="G93" s="15">
        <f>ROUND($G$11/32*12,4)</f>
        <v>0.0022</v>
      </c>
      <c r="H93" s="15">
        <f>ROUND($H$11/32*12,4)</f>
        <v>0</v>
      </c>
      <c r="I93" s="11">
        <f t="shared" si="40"/>
        <v>0.2726</v>
      </c>
      <c r="J93" s="11">
        <f t="shared" si="39"/>
        <v>0.00959461697722569</v>
      </c>
      <c r="K93" s="14">
        <f t="shared" si="41"/>
        <v>0.2822</v>
      </c>
      <c r="L93" s="11">
        <f>ROUND(L$11/32*12,4)</f>
        <v>-0.0468</v>
      </c>
      <c r="M93" s="11">
        <f>ROUND(M$11/32*12,4)</f>
        <v>0.0886</v>
      </c>
      <c r="N93" s="174">
        <f t="shared" si="42"/>
        <v>0.324</v>
      </c>
      <c r="O93" s="188"/>
      <c r="P93" s="14">
        <f>ROUND(-INPUT!$B$74*DETAIL!N93,4)</f>
        <v>-0.0421</v>
      </c>
      <c r="Q93" s="14">
        <f>ROUND(Q$11/32*12,4)</f>
        <v>0</v>
      </c>
      <c r="R93" s="14"/>
      <c r="S93" s="14">
        <f>ROUND((Q93+P93+N93)/(1-INPUT!$B$79)-(Q93+P93+N93),4)</f>
        <v>0.0078</v>
      </c>
      <c r="T93" s="128"/>
      <c r="U93" s="180">
        <f t="shared" si="43"/>
        <v>0.33</v>
      </c>
      <c r="V93" s="197"/>
    </row>
    <row r="94" spans="1:22" ht="14.25" thickBot="1" thickTop="1">
      <c r="A94" s="284"/>
      <c r="B94" s="293"/>
      <c r="C94" s="6" t="s">
        <v>56</v>
      </c>
      <c r="D94" s="12">
        <f>'CNTNR COST'!I92</f>
        <v>0.2315</v>
      </c>
      <c r="E94" s="11">
        <v>0</v>
      </c>
      <c r="F94" s="11">
        <f>+$F$14</f>
        <v>0</v>
      </c>
      <c r="G94" s="15">
        <f>ROUND($G$11/32*10,4)</f>
        <v>0.0018</v>
      </c>
      <c r="H94" s="15">
        <f>ROUND($H$11/32*10,4)</f>
        <v>0</v>
      </c>
      <c r="I94" s="11">
        <f t="shared" si="40"/>
        <v>0.2333</v>
      </c>
      <c r="J94" s="11">
        <f t="shared" si="39"/>
        <v>0.008211387163561096</v>
      </c>
      <c r="K94" s="14">
        <f t="shared" si="41"/>
        <v>0.2415</v>
      </c>
      <c r="L94" s="11">
        <f>ROUND(L$11/32*10,4)</f>
        <v>-0.039</v>
      </c>
      <c r="M94" s="11">
        <f>ROUND(M$11/32*10,4)</f>
        <v>0.0738</v>
      </c>
      <c r="N94" s="174">
        <f t="shared" si="42"/>
        <v>0.2763</v>
      </c>
      <c r="O94" s="188"/>
      <c r="P94" s="14">
        <f>ROUND(-INPUT!$B$74*DETAIL!N94,4)</f>
        <v>-0.0359</v>
      </c>
      <c r="Q94" s="14">
        <f>Q$14</f>
        <v>0</v>
      </c>
      <c r="R94" s="14" t="e">
        <f>ROUND((Q94+#REF!+N94)/(1-INPUT!$B$79)-(Q94+#REF!+N94),4)</f>
        <v>#REF!</v>
      </c>
      <c r="S94" s="14">
        <f>ROUND((Q94+P94+N94)/(1-INPUT!$B$79)-(Q94+P94+N94),4)</f>
        <v>0.0067</v>
      </c>
      <c r="T94" s="128" t="e">
        <f>IF(ROUND(R94+Q94+#REF!+N94,2)&gt;(N94),ROUND(R94+Q94+#REF!+N94,2),ROUND(N94+0.01,2))</f>
        <v>#REF!</v>
      </c>
      <c r="U94" s="180">
        <f t="shared" si="43"/>
        <v>0.29</v>
      </c>
      <c r="V94" s="197"/>
    </row>
    <row r="95" spans="1:22" ht="14.25" thickBot="1" thickTop="1">
      <c r="A95" s="284"/>
      <c r="B95" s="293"/>
      <c r="C95" s="6" t="s">
        <v>57</v>
      </c>
      <c r="D95" s="12">
        <f>'CNTNR COST'!I93</f>
        <v>0.1383</v>
      </c>
      <c r="E95" s="11">
        <v>0</v>
      </c>
      <c r="F95" s="11">
        <f>+$F$15</f>
        <v>0.0146</v>
      </c>
      <c r="G95" s="15">
        <f>ROUND($G$11/4,4)</f>
        <v>0.0015</v>
      </c>
      <c r="H95" s="15">
        <f>ROUND($H$11/4,4)</f>
        <v>0</v>
      </c>
      <c r="I95" s="11">
        <f t="shared" si="40"/>
        <v>0.1544</v>
      </c>
      <c r="J95" s="11">
        <f t="shared" si="39"/>
        <v>0.005434368530020717</v>
      </c>
      <c r="K95" s="14">
        <f t="shared" si="41"/>
        <v>0.1598</v>
      </c>
      <c r="L95" s="11">
        <f>ROUND(L$11/4,4)</f>
        <v>-0.0312</v>
      </c>
      <c r="M95" s="11">
        <f>ROUND(M$11/4,4)</f>
        <v>0.0591</v>
      </c>
      <c r="N95" s="174">
        <f t="shared" si="42"/>
        <v>0.1877</v>
      </c>
      <c r="O95" s="188"/>
      <c r="P95" s="14">
        <f>ROUND(-INPUT!$B$74*DETAIL!N95,4)</f>
        <v>-0.0244</v>
      </c>
      <c r="Q95" s="14">
        <f>Q$15</f>
        <v>0</v>
      </c>
      <c r="R95" s="14" t="e">
        <f>ROUND((Q95+#REF!+N95)/(1-INPUT!$B$79)-(Q95+#REF!+N95),4)</f>
        <v>#REF!</v>
      </c>
      <c r="S95" s="14">
        <f>ROUND((Q95+P95+N95)/(1-INPUT!$B$79)-(Q95+P95+N95),4)</f>
        <v>0.0045</v>
      </c>
      <c r="T95" s="128" t="e">
        <f>IF(ROUND(R95+Q95+#REF!+N95,2)&gt;(N95),ROUND(R95+Q95+#REF!+N95,2),ROUND(N95+0.01,2))</f>
        <v>#REF!</v>
      </c>
      <c r="U95" s="180">
        <f t="shared" si="43"/>
        <v>0.2</v>
      </c>
      <c r="V95" s="197"/>
    </row>
    <row r="96" spans="1:22" ht="14.25" thickBot="1" thickTop="1">
      <c r="A96" s="284"/>
      <c r="B96" s="293"/>
      <c r="C96" s="6" t="s">
        <v>58</v>
      </c>
      <c r="D96" s="12">
        <f>'CNTNR COST'!I94</f>
        <v>0.0887</v>
      </c>
      <c r="E96" s="11">
        <v>0</v>
      </c>
      <c r="F96" s="11">
        <f>+$F$16</f>
        <v>0.0181</v>
      </c>
      <c r="G96" s="15">
        <f>ROUND($G$11/8,4)</f>
        <v>0.0007</v>
      </c>
      <c r="H96" s="15">
        <f>ROUND($H$11/8,4)</f>
        <v>0</v>
      </c>
      <c r="I96" s="11">
        <f t="shared" si="40"/>
        <v>0.1075</v>
      </c>
      <c r="J96" s="11">
        <f t="shared" si="39"/>
        <v>0.0037836438923395527</v>
      </c>
      <c r="K96" s="14">
        <f t="shared" si="41"/>
        <v>0.1113</v>
      </c>
      <c r="L96" s="11">
        <f>ROUND(L$11/8,4)</f>
        <v>-0.0156</v>
      </c>
      <c r="M96" s="11">
        <f>ROUND(M$11/8,4)</f>
        <v>0.0295</v>
      </c>
      <c r="N96" s="174">
        <f t="shared" si="42"/>
        <v>0.1252</v>
      </c>
      <c r="O96" s="188"/>
      <c r="P96" s="14">
        <f>ROUND(-INPUT!$B$74*DETAIL!N96,4)</f>
        <v>-0.0163</v>
      </c>
      <c r="Q96" s="14">
        <f>Q$16</f>
        <v>0</v>
      </c>
      <c r="R96" s="14" t="e">
        <f>ROUND((Q96+#REF!+N96)/(1-INPUT!$B$79)-(Q96+#REF!+N96),4)</f>
        <v>#REF!</v>
      </c>
      <c r="S96" s="14">
        <f>ROUND((Q96+P96+N96)/(1-INPUT!$B$79)-(Q96+P96+N96),4)</f>
        <v>0.003</v>
      </c>
      <c r="T96" s="128" t="e">
        <f>IF(ROUND(R96+Q96+#REF!+N96,2)&gt;(N96),ROUND(R96+Q96+#REF!+N96,2),ROUND(N96+0.01,2))</f>
        <v>#REF!</v>
      </c>
      <c r="U96" s="180">
        <f t="shared" si="43"/>
        <v>0.14</v>
      </c>
      <c r="V96" s="197"/>
    </row>
    <row r="97" spans="1:22" ht="14.25" thickBot="1" thickTop="1">
      <c r="A97" s="285"/>
      <c r="B97" s="294"/>
      <c r="C97" s="6" t="s">
        <v>78</v>
      </c>
      <c r="D97" s="23">
        <f>'CNTNR COST'!I95</f>
        <v>0.5904</v>
      </c>
      <c r="E97" s="24">
        <v>0</v>
      </c>
      <c r="F97" s="24">
        <f>+$F$17</f>
        <v>0.0217</v>
      </c>
      <c r="G97" s="27">
        <f>ROUND($G$11,4)</f>
        <v>0.0058</v>
      </c>
      <c r="H97" s="27">
        <f>ROUND($H$11,4)</f>
        <v>0</v>
      </c>
      <c r="I97" s="24">
        <f t="shared" si="40"/>
        <v>0.6179</v>
      </c>
      <c r="J97" s="24">
        <f t="shared" si="39"/>
        <v>0.02174803312629403</v>
      </c>
      <c r="K97" s="29">
        <f t="shared" si="41"/>
        <v>0.6396</v>
      </c>
      <c r="L97" s="24">
        <f>L$11</f>
        <v>-0.1248</v>
      </c>
      <c r="M97" s="24">
        <f>M$11</f>
        <v>0.2362</v>
      </c>
      <c r="N97" s="175">
        <f t="shared" si="42"/>
        <v>0.751</v>
      </c>
      <c r="O97" s="189"/>
      <c r="P97" s="29">
        <f>ROUND(-INPUT!$B$74*DETAIL!N97,4)</f>
        <v>-0.0976</v>
      </c>
      <c r="Q97" s="29">
        <f>Q$17</f>
        <v>0</v>
      </c>
      <c r="R97" s="29" t="e">
        <f>ROUND((Q97+#REF!+N97)/(1-INPUT!$B$79)-(Q97+#REF!+N97),4)</f>
        <v>#REF!</v>
      </c>
      <c r="S97" s="29">
        <f>ROUND((Q97+P97+N97)/(1-INPUT!$B$79)-(Q97+P97+N97),4)</f>
        <v>0.0181</v>
      </c>
      <c r="T97" s="130" t="e">
        <f>IF(ROUND(R97+Q97+#REF!+N97,2)&gt;(N97),ROUND(R97+Q97+#REF!+N97,2),ROUND(N97+0.01,2))</f>
        <v>#REF!</v>
      </c>
      <c r="U97" s="181">
        <f t="shared" si="43"/>
        <v>0.76</v>
      </c>
      <c r="V97" s="198"/>
    </row>
    <row r="98" spans="1:22" ht="14.25" thickBot="1" thickTop="1">
      <c r="A98" s="165"/>
      <c r="B98" s="167"/>
      <c r="C98" s="168"/>
      <c r="K98" s="30"/>
      <c r="N98" s="154"/>
      <c r="O98" s="190"/>
      <c r="P98" s="154"/>
      <c r="Q98" s="154"/>
      <c r="R98" s="154"/>
      <c r="S98" s="154"/>
      <c r="T98" s="153"/>
      <c r="V98" s="195"/>
    </row>
    <row r="99" spans="1:22" ht="14.25" thickBot="1" thickTop="1">
      <c r="A99" s="283" t="s">
        <v>60</v>
      </c>
      <c r="B99" s="292"/>
      <c r="C99" s="6" t="s">
        <v>55</v>
      </c>
      <c r="D99" s="22">
        <f>'CNTNR COST'!I97</f>
        <v>0.5324</v>
      </c>
      <c r="E99" s="10">
        <f>E100*2</f>
        <v>0.386</v>
      </c>
      <c r="F99" s="10">
        <f>+$F$10</f>
        <v>-0.0299</v>
      </c>
      <c r="G99" s="10">
        <f>G100*2</f>
        <v>0.0116</v>
      </c>
      <c r="H99" s="26">
        <f>ROUND($H$11*2,6)</f>
        <v>0</v>
      </c>
      <c r="I99" s="10">
        <f>ROUND(SUM(D99:H99),4)</f>
        <v>0.9001</v>
      </c>
      <c r="J99" s="10">
        <f t="shared" si="39"/>
        <v>0.03168053830227746</v>
      </c>
      <c r="K99" s="28">
        <f>ROUND(I99+J99,4)</f>
        <v>0.9318</v>
      </c>
      <c r="L99" s="10">
        <f>ROUND(L$11*2,4)</f>
        <v>-0.2496</v>
      </c>
      <c r="M99" s="10">
        <f>ROUND(M$11*2,4)</f>
        <v>0.4724</v>
      </c>
      <c r="N99" s="173">
        <f aca="true" t="shared" si="44" ref="N99:N109">ROUND(SUM(K99:M99),4)</f>
        <v>1.1546</v>
      </c>
      <c r="O99" s="187">
        <v>2.0219</v>
      </c>
      <c r="P99" s="28">
        <f>ROUND(-INPUT!$B$74*DETAIL!N99,4)</f>
        <v>-0.1501</v>
      </c>
      <c r="Q99" s="28">
        <f>Q$10</f>
        <v>0</v>
      </c>
      <c r="R99" s="28" t="e">
        <f>ROUND((Q99+#REF!+N99)/(1-INPUT!$B$79)-(Q99+#REF!+N99),4)</f>
        <v>#REF!</v>
      </c>
      <c r="S99" s="28">
        <f>ROUND((Q99+P99+N99)/(1-INPUT!$B$79)-(Q99+P99+N99),4)</f>
        <v>0.0279</v>
      </c>
      <c r="T99" s="127" t="e">
        <f>IF(ROUND(R99+Q99+#REF!+N99,2)&gt;(N99),ROUND(R99+Q99+#REF!+N99,2),ROUND(N99+0.01,2))</f>
        <v>#REF!</v>
      </c>
      <c r="U99" s="179">
        <f aca="true" t="shared" si="45" ref="U99:U109">IF(ROUND(S99+Q99+P99+N99,2)&gt;(N99),ROUND(S99+Q99+P99+N99,2),ROUND(N99+0.01,2))</f>
        <v>1.16</v>
      </c>
      <c r="V99" s="196">
        <v>2.03</v>
      </c>
    </row>
    <row r="100" spans="1:22" ht="14.25" thickBot="1" thickTop="1">
      <c r="A100" s="284"/>
      <c r="B100" s="293"/>
      <c r="C100" s="6" t="s">
        <v>14</v>
      </c>
      <c r="D100" s="12">
        <f>'CNTNR COST'!I98</f>
        <v>0.2662</v>
      </c>
      <c r="E100" s="11">
        <f>H_AND_H_ADDON</f>
        <v>0.193</v>
      </c>
      <c r="F100" s="11">
        <f>+$F$11</f>
        <v>0.0401</v>
      </c>
      <c r="G100" s="15">
        <f>ROUND(COST_UPDATE_ADJ,4)</f>
        <v>0.0058</v>
      </c>
      <c r="H100" s="15">
        <f>Energy_Addon</f>
        <v>0</v>
      </c>
      <c r="I100" s="11">
        <f aca="true" t="shared" si="46" ref="I100:I109">ROUND(SUM(D100:H100),4)</f>
        <v>0.5051</v>
      </c>
      <c r="J100" s="11">
        <f t="shared" si="39"/>
        <v>0.01777784679089034</v>
      </c>
      <c r="K100" s="14">
        <f aca="true" t="shared" si="47" ref="K100:K109">ROUND(I100+J100,4)</f>
        <v>0.5229</v>
      </c>
      <c r="L100" s="11">
        <f>$L$11</f>
        <v>-0.1248</v>
      </c>
      <c r="M100" s="11">
        <f>$M$11</f>
        <v>0.2362</v>
      </c>
      <c r="N100" s="174">
        <f t="shared" si="44"/>
        <v>0.6343</v>
      </c>
      <c r="O100" s="188">
        <v>1.0416</v>
      </c>
      <c r="P100" s="14">
        <f>ROUND(-INPUT!$B$74*DETAIL!N100,4)</f>
        <v>-0.0825</v>
      </c>
      <c r="Q100" s="14">
        <f>Q$11</f>
        <v>0</v>
      </c>
      <c r="R100" s="126" t="e">
        <f>ROUND((Q100+#REF!+N100)/(1-INPUT!$B$79)-(Q100+#REF!+N100),4)</f>
        <v>#REF!</v>
      </c>
      <c r="S100" s="126">
        <f>ROUND((Q100+P100+N100)/(1-INPUT!$B$79)-(Q100+P100+N100),4)</f>
        <v>0.0153</v>
      </c>
      <c r="T100" s="128" t="e">
        <f>IF(ROUND(R100+Q100+#REF!+N100,2)&gt;(N100),ROUND(R100+Q100+#REF!+N100,2),ROUND(N100+0.01,2))</f>
        <v>#REF!</v>
      </c>
      <c r="U100" s="180">
        <f t="shared" si="45"/>
        <v>0.64</v>
      </c>
      <c r="V100" s="197">
        <v>1.05</v>
      </c>
    </row>
    <row r="101" spans="1:22" ht="14.25" thickBot="1" thickTop="1">
      <c r="A101" s="284"/>
      <c r="B101" s="293"/>
      <c r="C101" s="6" t="s">
        <v>15</v>
      </c>
      <c r="D101" s="12">
        <f>'CNTNR COST'!I99</f>
        <v>0.1331</v>
      </c>
      <c r="E101" s="11">
        <f>E100/2</f>
        <v>0.0965</v>
      </c>
      <c r="F101" s="11">
        <f>+$F$12</f>
        <v>0.0256</v>
      </c>
      <c r="G101" s="15">
        <f>ROUND($G$11/2,4)</f>
        <v>0.0029</v>
      </c>
      <c r="H101" s="15">
        <f>ROUND($H$11/2,4)</f>
        <v>0</v>
      </c>
      <c r="I101" s="11">
        <f t="shared" si="46"/>
        <v>0.2581</v>
      </c>
      <c r="J101" s="11">
        <f t="shared" si="39"/>
        <v>0.009084265010351977</v>
      </c>
      <c r="K101" s="14">
        <f t="shared" si="47"/>
        <v>0.2672</v>
      </c>
      <c r="L101" s="11">
        <f>ROUND(L$11/2,4)</f>
        <v>-0.0624</v>
      </c>
      <c r="M101" s="11">
        <f>ROUND(M$11/2,4)</f>
        <v>0.1181</v>
      </c>
      <c r="N101" s="174">
        <f t="shared" si="44"/>
        <v>0.3229</v>
      </c>
      <c r="O101" s="188">
        <v>0.5662</v>
      </c>
      <c r="P101" s="14">
        <f>ROUND(-INPUT!$B$74*DETAIL!N101,4)</f>
        <v>-0.042</v>
      </c>
      <c r="Q101" s="14">
        <f>Q$12</f>
        <v>0</v>
      </c>
      <c r="R101" s="14" t="e">
        <f>ROUND((Q101+#REF!+N101)/(1-INPUT!$B$79)-(Q101+#REF!+N101),4)</f>
        <v>#REF!</v>
      </c>
      <c r="S101" s="14">
        <f>ROUND((Q101+P101+N101)/(1-INPUT!$B$79)-(Q101+P101+N101),4)</f>
        <v>0.0078</v>
      </c>
      <c r="T101" s="129" t="e">
        <f>IF(ROUND(R101+Q101+#REF!+N101,2)&gt;(N101),ROUND(R101+Q101+#REF!+N101,2),ROUND(N101+0.01,2))</f>
        <v>#REF!</v>
      </c>
      <c r="U101" s="180">
        <f t="shared" si="45"/>
        <v>0.33</v>
      </c>
      <c r="V101" s="197">
        <v>0.58</v>
      </c>
    </row>
    <row r="102" spans="1:22" ht="14.25" thickBot="1" thickTop="1">
      <c r="A102" s="284"/>
      <c r="B102" s="293"/>
      <c r="C102" s="6" t="s">
        <v>190</v>
      </c>
      <c r="D102" s="12">
        <f>'CNTNR COST'!I100</f>
        <v>0.1628</v>
      </c>
      <c r="E102" s="11">
        <f>E100/32*12</f>
        <v>0.072375</v>
      </c>
      <c r="F102" s="11">
        <f>+$F$13</f>
        <v>0</v>
      </c>
      <c r="G102" s="15">
        <f>ROUND($G$11/32*12,4)</f>
        <v>0.0022</v>
      </c>
      <c r="H102" s="15">
        <f>ROUND($H$11/32*12,4)</f>
        <v>0</v>
      </c>
      <c r="I102" s="11">
        <f t="shared" si="46"/>
        <v>0.2374</v>
      </c>
      <c r="J102" s="11">
        <f t="shared" si="39"/>
        <v>0.008355693581780538</v>
      </c>
      <c r="K102" s="14">
        <f t="shared" si="47"/>
        <v>0.2458</v>
      </c>
      <c r="L102" s="11">
        <f>ROUND(L$11/32*12,4)</f>
        <v>-0.0468</v>
      </c>
      <c r="M102" s="11">
        <f>ROUND(M$11/32*12,4)</f>
        <v>0.0886</v>
      </c>
      <c r="N102" s="174">
        <f t="shared" si="44"/>
        <v>0.2876</v>
      </c>
      <c r="O102" s="188"/>
      <c r="P102" s="14">
        <f>ROUND(-INPUT!$B$74*DETAIL!N102,4)</f>
        <v>-0.0374</v>
      </c>
      <c r="Q102" s="14">
        <f>ROUND(Q$11/32*12,4)</f>
        <v>0</v>
      </c>
      <c r="R102" s="14"/>
      <c r="S102" s="14">
        <f>ROUND((Q102+P102+N102)/(1-INPUT!$B$79)-(Q102+P102+N102),4)</f>
        <v>0.0069</v>
      </c>
      <c r="T102" s="128"/>
      <c r="U102" s="180">
        <f t="shared" si="45"/>
        <v>0.3</v>
      </c>
      <c r="V102" s="197"/>
    </row>
    <row r="103" spans="1:22" ht="14.25" thickBot="1" thickTop="1">
      <c r="A103" s="284"/>
      <c r="B103" s="293"/>
      <c r="C103" s="6" t="s">
        <v>56</v>
      </c>
      <c r="D103" s="12">
        <f>'CNTNR COST'!I101</f>
        <v>0.1419</v>
      </c>
      <c r="E103" s="11">
        <f>E100/32*10</f>
        <v>0.060312500000000005</v>
      </c>
      <c r="F103" s="11">
        <f>+$F$14</f>
        <v>0</v>
      </c>
      <c r="G103" s="15">
        <f>ROUND($G$11/32*10,4)</f>
        <v>0.0018</v>
      </c>
      <c r="H103" s="15">
        <f>ROUND($H$11/32*10,4)</f>
        <v>0</v>
      </c>
      <c r="I103" s="11">
        <f t="shared" si="46"/>
        <v>0.204</v>
      </c>
      <c r="J103" s="11">
        <f t="shared" si="39"/>
        <v>0.00718012422360248</v>
      </c>
      <c r="K103" s="14">
        <f t="shared" si="47"/>
        <v>0.2112</v>
      </c>
      <c r="L103" s="11">
        <f>ROUND(L$11/32*10,4)</f>
        <v>-0.039</v>
      </c>
      <c r="M103" s="11">
        <f>ROUND(M$11/32*10,4)</f>
        <v>0.0738</v>
      </c>
      <c r="N103" s="174">
        <f t="shared" si="44"/>
        <v>0.246</v>
      </c>
      <c r="O103" s="188">
        <v>0.369</v>
      </c>
      <c r="P103" s="14">
        <f>ROUND(-INPUT!$B$74*DETAIL!N103,4)</f>
        <v>-0.032</v>
      </c>
      <c r="Q103" s="14">
        <f>Q$14</f>
        <v>0</v>
      </c>
      <c r="R103" s="14" t="e">
        <f>ROUND((Q103+#REF!+N103)/(1-INPUT!$B$79)-(Q103+#REF!+N103),4)</f>
        <v>#REF!</v>
      </c>
      <c r="S103" s="14">
        <f>ROUND((Q103+P103+N103)/(1-INPUT!$B$79)-(Q103+P103+N103),4)</f>
        <v>0.0059</v>
      </c>
      <c r="T103" s="128" t="e">
        <f>IF(ROUND(R103+Q103+#REF!+N103,2)&gt;(N103),ROUND(R103+Q103+#REF!+N103,2),ROUND(N103+0.01,2))</f>
        <v>#REF!</v>
      </c>
      <c r="U103" s="180">
        <f t="shared" si="45"/>
        <v>0.26</v>
      </c>
      <c r="V103" s="197">
        <v>0.38</v>
      </c>
    </row>
    <row r="104" spans="1:22" ht="14.25" thickBot="1" thickTop="1">
      <c r="A104" s="284"/>
      <c r="B104" s="293"/>
      <c r="C104" s="6" t="s">
        <v>57</v>
      </c>
      <c r="D104" s="12">
        <f>'CNTNR COST'!I102</f>
        <v>0.0666</v>
      </c>
      <c r="E104" s="11">
        <f>E100/4</f>
        <v>0.04825</v>
      </c>
      <c r="F104" s="11">
        <f>+$F$15</f>
        <v>0.0146</v>
      </c>
      <c r="G104" s="15">
        <f>ROUND($G$11/4,4)</f>
        <v>0.0015</v>
      </c>
      <c r="H104" s="15">
        <f>ROUND($H$11/4,4)</f>
        <v>0</v>
      </c>
      <c r="I104" s="11">
        <f t="shared" si="46"/>
        <v>0.131</v>
      </c>
      <c r="J104" s="11">
        <f t="shared" si="39"/>
        <v>0.004610766045548664</v>
      </c>
      <c r="K104" s="14">
        <f t="shared" si="47"/>
        <v>0.1356</v>
      </c>
      <c r="L104" s="11">
        <f>ROUND(L$11/4,4)</f>
        <v>-0.0312</v>
      </c>
      <c r="M104" s="11">
        <f>ROUND(M$11/4,4)</f>
        <v>0.0591</v>
      </c>
      <c r="N104" s="174">
        <f t="shared" si="44"/>
        <v>0.1635</v>
      </c>
      <c r="O104" s="188">
        <v>0.2801</v>
      </c>
      <c r="P104" s="14">
        <f>ROUND(-INPUT!$B$74*DETAIL!N104,4)</f>
        <v>-0.0213</v>
      </c>
      <c r="Q104" s="14">
        <f>Q$15</f>
        <v>0</v>
      </c>
      <c r="R104" s="14" t="e">
        <f>ROUND((Q104+#REF!+N104)/(1-INPUT!$B$79)-(Q104+#REF!+N104),4)</f>
        <v>#REF!</v>
      </c>
      <c r="S104" s="14">
        <f>ROUND((Q104+P104+N104)/(1-INPUT!$B$79)-(Q104+P104+N104),4)</f>
        <v>0.0039</v>
      </c>
      <c r="T104" s="128" t="e">
        <f>IF(ROUND(R104+Q104+#REF!+N104,2)&gt;(N104),ROUND(R104+Q104+#REF!+N104,2),ROUND(N104+0.01,2))</f>
        <v>#REF!</v>
      </c>
      <c r="U104" s="180">
        <f t="shared" si="45"/>
        <v>0.17</v>
      </c>
      <c r="V104" s="197">
        <v>0.29</v>
      </c>
    </row>
    <row r="105" spans="1:22" ht="14.25" thickBot="1" thickTop="1">
      <c r="A105" s="284"/>
      <c r="B105" s="293"/>
      <c r="C105" s="6" t="s">
        <v>58</v>
      </c>
      <c r="D105" s="12">
        <f>'CNTNR COST'!I103</f>
        <v>0.0528</v>
      </c>
      <c r="E105" s="11">
        <f>E100/8</f>
        <v>0.024125</v>
      </c>
      <c r="F105" s="11">
        <f>+$F$16</f>
        <v>0.0181</v>
      </c>
      <c r="G105" s="15">
        <f>ROUND($G$11/8,4)</f>
        <v>0.0007</v>
      </c>
      <c r="H105" s="15">
        <f>ROUND($H$11/8,4)</f>
        <v>0</v>
      </c>
      <c r="I105" s="11">
        <f t="shared" si="46"/>
        <v>0.0957</v>
      </c>
      <c r="J105" s="11">
        <f t="shared" si="39"/>
        <v>0.0033683229813664672</v>
      </c>
      <c r="K105" s="14">
        <f t="shared" si="47"/>
        <v>0.0991</v>
      </c>
      <c r="L105" s="11">
        <f>ROUND(L$11/8,4)</f>
        <v>-0.0156</v>
      </c>
      <c r="M105" s="11">
        <f>ROUND(M$11/8,4)</f>
        <v>0.0295</v>
      </c>
      <c r="N105" s="174">
        <f t="shared" si="44"/>
        <v>0.113</v>
      </c>
      <c r="O105" s="188">
        <v>0.1706</v>
      </c>
      <c r="P105" s="14">
        <f>ROUND(-INPUT!$B$74*DETAIL!N105,4)</f>
        <v>-0.0147</v>
      </c>
      <c r="Q105" s="14">
        <f>Q$16</f>
        <v>0</v>
      </c>
      <c r="R105" s="14" t="e">
        <f>ROUND((Q105+#REF!+N105)/(1-INPUT!$B$79)-(Q105+#REF!+N105),4)</f>
        <v>#REF!</v>
      </c>
      <c r="S105" s="14">
        <f>ROUND((Q105+P105+N105)/(1-INPUT!$B$79)-(Q105+P105+N105),4)</f>
        <v>0.0027</v>
      </c>
      <c r="T105" s="128" t="e">
        <f>IF(ROUND(R105+Q105+#REF!+N105,2)&gt;(N105),ROUND(R105+Q105+#REF!+N105,2),ROUND(N105+0.01,2))</f>
        <v>#REF!</v>
      </c>
      <c r="U105" s="180">
        <f t="shared" si="45"/>
        <v>0.12</v>
      </c>
      <c r="V105" s="197">
        <v>0.18</v>
      </c>
    </row>
    <row r="106" spans="1:22" ht="14.25" thickBot="1" thickTop="1">
      <c r="A106" s="284"/>
      <c r="B106" s="293"/>
      <c r="C106" s="6" t="s">
        <v>78</v>
      </c>
      <c r="D106" s="12">
        <f>'CNTNR COST'!I104</f>
        <v>0.3036</v>
      </c>
      <c r="E106" s="11">
        <f>E100</f>
        <v>0.193</v>
      </c>
      <c r="F106" s="11">
        <f>+$F$17</f>
        <v>0.0217</v>
      </c>
      <c r="G106" s="15">
        <f>ROUND($G$11,4)</f>
        <v>0.0058</v>
      </c>
      <c r="H106" s="15">
        <f>ROUND($H$11,4)</f>
        <v>0</v>
      </c>
      <c r="I106" s="11">
        <f t="shared" si="46"/>
        <v>0.5241</v>
      </c>
      <c r="J106" s="11">
        <f t="shared" si="39"/>
        <v>0.018446583850931675</v>
      </c>
      <c r="K106" s="14">
        <f t="shared" si="47"/>
        <v>0.5425</v>
      </c>
      <c r="L106" s="11">
        <f>L$11</f>
        <v>-0.1248</v>
      </c>
      <c r="M106" s="11">
        <f>M$11</f>
        <v>0.2362</v>
      </c>
      <c r="N106" s="174">
        <f t="shared" si="44"/>
        <v>0.6539</v>
      </c>
      <c r="O106" s="188">
        <v>1.04</v>
      </c>
      <c r="P106" s="14">
        <f>ROUND(-INPUT!$B$74*DETAIL!N106,4)</f>
        <v>-0.085</v>
      </c>
      <c r="Q106" s="14">
        <f>Q$17</f>
        <v>0</v>
      </c>
      <c r="R106" s="14" t="e">
        <f>ROUND((Q106+#REF!+N106)/(1-INPUT!$B$79)-(Q106+#REF!+N106),4)</f>
        <v>#REF!</v>
      </c>
      <c r="S106" s="14">
        <f>ROUND((Q106+P106+N106)/(1-INPUT!$B$79)-(Q106+P106+N106),4)</f>
        <v>0.0158</v>
      </c>
      <c r="T106" s="128" t="e">
        <f>IF(ROUND(R106+Q106+#REF!+N106,2)&gt;(N106),ROUND(R106+Q106+#REF!+N106,2),ROUND(N106+0.01,2))</f>
        <v>#REF!</v>
      </c>
      <c r="U106" s="180">
        <f t="shared" si="45"/>
        <v>0.66</v>
      </c>
      <c r="V106" s="197">
        <v>1.05</v>
      </c>
    </row>
    <row r="107" spans="1:22" ht="14.25" thickBot="1" thickTop="1">
      <c r="A107" s="284"/>
      <c r="B107" s="293"/>
      <c r="C107" s="6" t="s">
        <v>61</v>
      </c>
      <c r="D107" s="12">
        <f>'CNTNR COST'!I105</f>
        <v>0.0031</v>
      </c>
      <c r="E107" s="11">
        <f>CREAMER_ADDON*(3/8)</f>
        <v>0.01035</v>
      </c>
      <c r="F107" s="11"/>
      <c r="G107" s="208">
        <f>ROUND(G100/32*3/8,4)</f>
        <v>0.0001</v>
      </c>
      <c r="H107" s="208">
        <f>ROUND(H100/32*3/8,4)</f>
        <v>0</v>
      </c>
      <c r="I107" s="11">
        <f t="shared" si="46"/>
        <v>0.0136</v>
      </c>
      <c r="J107" s="11">
        <f t="shared" si="39"/>
        <v>0.0004786749482401653</v>
      </c>
      <c r="K107" s="14">
        <f t="shared" si="47"/>
        <v>0.0141</v>
      </c>
      <c r="L107" s="11">
        <f>+L105/32*3</f>
        <v>-0.0014624999999999998</v>
      </c>
      <c r="M107" s="11">
        <f>+M105/32*3</f>
        <v>0.002765625</v>
      </c>
      <c r="N107" s="174">
        <f t="shared" si="44"/>
        <v>0.0154</v>
      </c>
      <c r="O107" s="188">
        <v>0.0172</v>
      </c>
      <c r="P107" s="14">
        <f>ROUND(-INPUT!$B$74*DETAIL!N107,4)</f>
        <v>-0.002</v>
      </c>
      <c r="Q107" s="14">
        <f>ROUND((Q100/256)*3,4)</f>
        <v>0</v>
      </c>
      <c r="R107" s="14" t="e">
        <f>ROUND((Q107+#REF!+N107)/(1-INPUT!$B$79)-(Q107+#REF!+N107),4)</f>
        <v>#REF!</v>
      </c>
      <c r="S107" s="14">
        <f>ROUND((Q107+P107+N107)/(1-INPUT!$B$79)-(Q107+P107+N107),4)</f>
        <v>0.0004</v>
      </c>
      <c r="T107" s="128" t="e">
        <f>IF(ROUND(R107+Q107+#REF!+N107,2)&gt;(N107),ROUND(R107+Q107+#REF!+N107,2),ROUND(N107+0.01,2))</f>
        <v>#REF!</v>
      </c>
      <c r="U107" s="180">
        <f t="shared" si="45"/>
        <v>0.03</v>
      </c>
      <c r="V107" s="197">
        <v>0.02</v>
      </c>
    </row>
    <row r="108" spans="1:22" ht="14.25" thickBot="1" thickTop="1">
      <c r="A108" s="295"/>
      <c r="B108" s="296"/>
      <c r="C108" s="6" t="s">
        <v>62</v>
      </c>
      <c r="D108" s="12">
        <f>'CNTNR COST'!I106</f>
        <v>0.0042</v>
      </c>
      <c r="E108" s="11">
        <f>CREAMER_ADDON*(1/2)</f>
        <v>0.0138</v>
      </c>
      <c r="F108" s="11"/>
      <c r="G108" s="11">
        <f>ROUND(G100/64,4)</f>
        <v>0.0001</v>
      </c>
      <c r="H108" s="11">
        <f>ROUND(H100/64,4)</f>
        <v>0</v>
      </c>
      <c r="I108" s="11">
        <f t="shared" si="46"/>
        <v>0.0181</v>
      </c>
      <c r="J108" s="11">
        <f t="shared" si="39"/>
        <v>0.0006370600414078685</v>
      </c>
      <c r="K108" s="14">
        <f>ROUND(I108+J108,4)</f>
        <v>0.0187</v>
      </c>
      <c r="L108" s="11">
        <f>+L105/8</f>
        <v>-0.00195</v>
      </c>
      <c r="M108" s="11">
        <f>+M105/8</f>
        <v>0.0036875</v>
      </c>
      <c r="N108" s="174">
        <f t="shared" si="44"/>
        <v>0.0204</v>
      </c>
      <c r="O108" s="188">
        <v>0.023</v>
      </c>
      <c r="P108" s="14">
        <f>ROUND(-INPUT!$B$74*DETAIL!N108,4)</f>
        <v>-0.0027</v>
      </c>
      <c r="Q108" s="14">
        <f>ROUND(Q100/64,4)</f>
        <v>0</v>
      </c>
      <c r="R108" s="14" t="e">
        <f>ROUND((Q108+#REF!+N108)/(1-INPUT!$B$79)-(Q108+#REF!+N108),4)</f>
        <v>#REF!</v>
      </c>
      <c r="S108" s="14">
        <f>ROUND((Q108+P108+N108)/(1-INPUT!$B$79)-(Q108+P108+N108),4)</f>
        <v>0.0005</v>
      </c>
      <c r="T108" s="128" t="e">
        <f>IF(ROUND(R108+Q108+#REF!+N108,2)&gt;(N108),ROUND(R108+Q108+#REF!+N108,2),ROUND(N108+0.01,2))</f>
        <v>#REF!</v>
      </c>
      <c r="U108" s="180">
        <f t="shared" si="45"/>
        <v>0.03</v>
      </c>
      <c r="V108" s="197">
        <v>0.03</v>
      </c>
    </row>
    <row r="109" spans="1:22" ht="14.25" thickBot="1" thickTop="1">
      <c r="A109" s="297"/>
      <c r="B109" s="298"/>
      <c r="C109" s="6" t="s">
        <v>63</v>
      </c>
      <c r="D109" s="23">
        <f>'CNTNR COST'!I107</f>
        <v>0.0062</v>
      </c>
      <c r="E109" s="24">
        <f>CREAMER_ADDON*(3/4)</f>
        <v>0.0207</v>
      </c>
      <c r="F109" s="24"/>
      <c r="G109" s="24">
        <f>ROUND(G101/64*3,4)</f>
        <v>0.0001</v>
      </c>
      <c r="H109" s="24">
        <f>ROUND(H101/64*3,4)</f>
        <v>0</v>
      </c>
      <c r="I109" s="24">
        <f t="shared" si="46"/>
        <v>0.027</v>
      </c>
      <c r="J109" s="24">
        <f t="shared" si="39"/>
        <v>0.0009503105590062122</v>
      </c>
      <c r="K109" s="29">
        <f t="shared" si="47"/>
        <v>0.028</v>
      </c>
      <c r="L109" s="24">
        <f>+L108/2*3</f>
        <v>-0.0029249999999999996</v>
      </c>
      <c r="M109" s="24">
        <f>+M108/2*3</f>
        <v>0.00553125</v>
      </c>
      <c r="N109" s="175">
        <f t="shared" si="44"/>
        <v>0.0306</v>
      </c>
      <c r="O109" s="189">
        <v>0.0348</v>
      </c>
      <c r="P109" s="29">
        <f>ROUND(-INPUT!$B$74*DETAIL!N109,4)</f>
        <v>-0.004</v>
      </c>
      <c r="Q109" s="29">
        <f>ROUND((Q100/128)*3,4)</f>
        <v>0</v>
      </c>
      <c r="R109" s="29" t="e">
        <f>ROUND((Q109+#REF!+N109)/(1-INPUT!$B$79)-(Q109+#REF!+N109),4)</f>
        <v>#REF!</v>
      </c>
      <c r="S109" s="29">
        <f>ROUND((Q109+P109+N109)/(1-INPUT!$B$79)-(Q109+P109+N109),4)</f>
        <v>0.0007</v>
      </c>
      <c r="T109" s="130" t="e">
        <f>IF(ROUND(R109+Q109+#REF!+N109,2)&gt;(N109),ROUND(R109+Q109+#REF!+N109,2),ROUND(N109+0.01,2))</f>
        <v>#REF!</v>
      </c>
      <c r="U109" s="181">
        <f t="shared" si="45"/>
        <v>0.04</v>
      </c>
      <c r="V109" s="198">
        <v>0.04</v>
      </c>
    </row>
    <row r="110" spans="3:22" ht="14.25" thickBot="1" thickTop="1">
      <c r="C110" s="168"/>
      <c r="K110" s="30"/>
      <c r="N110" s="154"/>
      <c r="O110" s="191"/>
      <c r="P110" s="154"/>
      <c r="Q110" s="154"/>
      <c r="R110" s="154"/>
      <c r="S110" s="154"/>
      <c r="T110" s="153"/>
      <c r="V110" s="199"/>
    </row>
    <row r="111" spans="1:22" ht="14.25" thickBot="1" thickTop="1">
      <c r="A111" s="283" t="s">
        <v>176</v>
      </c>
      <c r="B111" s="289" t="s">
        <v>177</v>
      </c>
      <c r="C111" s="6" t="s">
        <v>55</v>
      </c>
      <c r="D111" s="22">
        <f>'CNTNR COST'!I109</f>
        <v>0.5324</v>
      </c>
      <c r="E111" s="10">
        <f>E112*2</f>
        <v>0.3912</v>
      </c>
      <c r="F111" s="10">
        <f>+$F$10</f>
        <v>-0.0299</v>
      </c>
      <c r="G111" s="10">
        <f>G112*2</f>
        <v>0.0116</v>
      </c>
      <c r="H111" s="26">
        <f>ROUND($H$11*2,6)</f>
        <v>0</v>
      </c>
      <c r="I111" s="10">
        <f>ROUND(SUM(D111:H111),4)</f>
        <v>0.9053</v>
      </c>
      <c r="J111" s="10">
        <f t="shared" si="39"/>
        <v>0.031863561076604596</v>
      </c>
      <c r="K111" s="28">
        <f>ROUND(I111+J111,4)</f>
        <v>0.9372</v>
      </c>
      <c r="L111" s="10">
        <f>ROUND(L$11*2,4)</f>
        <v>-0.2496</v>
      </c>
      <c r="M111" s="10">
        <f>ROUND(M$11*2,4)</f>
        <v>0.4724</v>
      </c>
      <c r="N111" s="173">
        <f aca="true" t="shared" si="48" ref="N111:N118">ROUND(SUM(K111:M111),4)</f>
        <v>1.16</v>
      </c>
      <c r="O111" s="187">
        <v>2.974</v>
      </c>
      <c r="P111" s="28">
        <f>ROUND(-INPUT!$B$74*DETAIL!N111,4)</f>
        <v>-0.1508</v>
      </c>
      <c r="Q111" s="28">
        <f>Q$10</f>
        <v>0</v>
      </c>
      <c r="R111" s="28" t="e">
        <f>ROUND((Q111+#REF!+N111)/(1-INPUT!$B$79)-(Q111+#REF!+N111),4)</f>
        <v>#REF!</v>
      </c>
      <c r="S111" s="28">
        <f>ROUND((Q111+P111+N111)/(1-INPUT!$B$79)-(Q111+P111+N111),4)</f>
        <v>0.028</v>
      </c>
      <c r="T111" s="127" t="e">
        <f>IF(ROUND(R111+Q111+#REF!+N111,2)&gt;(N111),ROUND(R111+Q111+#REF!+N111,2),ROUND(N111+0.01,2))</f>
        <v>#REF!</v>
      </c>
      <c r="U111" s="179">
        <f aca="true" t="shared" si="49" ref="U111:U118">IF(ROUND(S111+Q111+P111+N111,2)&gt;(N111),ROUND(S111+Q111+P111+N111,2),ROUND(N111+0.01,2))</f>
        <v>1.17</v>
      </c>
      <c r="V111" s="196">
        <v>2.98</v>
      </c>
    </row>
    <row r="112" spans="1:22" ht="14.25" thickBot="1" thickTop="1">
      <c r="A112" s="284"/>
      <c r="B112" s="290"/>
      <c r="C112" s="6" t="s">
        <v>14</v>
      </c>
      <c r="D112" s="12">
        <f>'CNTNR COST'!I110</f>
        <v>0.2662</v>
      </c>
      <c r="E112" s="11">
        <f>CREAM_ADDON</f>
        <v>0.1956</v>
      </c>
      <c r="F112" s="11">
        <f>+$F$11</f>
        <v>0.0401</v>
      </c>
      <c r="G112" s="15">
        <f>ROUND(COST_UPDATE_ADJ,4)</f>
        <v>0.0058</v>
      </c>
      <c r="H112" s="15">
        <f>Energy_Addon</f>
        <v>0</v>
      </c>
      <c r="I112" s="11">
        <f aca="true" t="shared" si="50" ref="I112:I118">ROUND(SUM(D112:H112),4)</f>
        <v>0.5077</v>
      </c>
      <c r="J112" s="11">
        <f t="shared" si="39"/>
        <v>0.017869358178053796</v>
      </c>
      <c r="K112" s="14">
        <f aca="true" t="shared" si="51" ref="K112:K118">ROUND(I112+J112,4)</f>
        <v>0.5256</v>
      </c>
      <c r="L112" s="11">
        <f>$L$11</f>
        <v>-0.1248</v>
      </c>
      <c r="M112" s="11">
        <f>$M$11</f>
        <v>0.2362</v>
      </c>
      <c r="N112" s="174">
        <f t="shared" si="48"/>
        <v>0.637</v>
      </c>
      <c r="O112" s="188">
        <v>1.5176</v>
      </c>
      <c r="P112" s="14">
        <f>ROUND(-INPUT!$B$74*DETAIL!N112,4)</f>
        <v>-0.0828</v>
      </c>
      <c r="Q112" s="14">
        <f>Q$11</f>
        <v>0</v>
      </c>
      <c r="R112" s="14" t="e">
        <f>ROUND((Q112+#REF!+N112)/(1-INPUT!$B$79)-(Q112+#REF!+N112),4)</f>
        <v>#REF!</v>
      </c>
      <c r="S112" s="14">
        <f>ROUND((Q112+P112+N112)/(1-INPUT!$B$79)-(Q112+P112+N112),4)</f>
        <v>0.0154</v>
      </c>
      <c r="T112" s="128" t="e">
        <f>IF(ROUND(R112+Q112+#REF!+N112,2)&gt;(N112),ROUND(R112+Q112+#REF!+N112,2),ROUND(N112+0.01,2))</f>
        <v>#REF!</v>
      </c>
      <c r="U112" s="180">
        <f t="shared" si="49"/>
        <v>0.65</v>
      </c>
      <c r="V112" s="197">
        <v>1.53</v>
      </c>
    </row>
    <row r="113" spans="1:22" ht="14.25" thickBot="1" thickTop="1">
      <c r="A113" s="284"/>
      <c r="B113" s="290"/>
      <c r="C113" s="6" t="s">
        <v>15</v>
      </c>
      <c r="D113" s="12">
        <f>'CNTNR COST'!I111</f>
        <v>0.1331</v>
      </c>
      <c r="E113" s="11">
        <f>E112/2</f>
        <v>0.0978</v>
      </c>
      <c r="F113" s="11">
        <f>+$F$12</f>
        <v>0.0256</v>
      </c>
      <c r="G113" s="15">
        <f>ROUND($G$11/2,4)</f>
        <v>0.0029</v>
      </c>
      <c r="H113" s="15">
        <f>ROUND($H$11/2,4)</f>
        <v>0</v>
      </c>
      <c r="I113" s="11">
        <f t="shared" si="50"/>
        <v>0.2594</v>
      </c>
      <c r="J113" s="11">
        <f t="shared" si="39"/>
        <v>0.009130020703933761</v>
      </c>
      <c r="K113" s="14">
        <f t="shared" si="51"/>
        <v>0.2685</v>
      </c>
      <c r="L113" s="11">
        <f>ROUND(L$11/2,4)</f>
        <v>-0.0624</v>
      </c>
      <c r="M113" s="11">
        <f>ROUND(M$11/2,4)</f>
        <v>0.1181</v>
      </c>
      <c r="N113" s="174">
        <f t="shared" si="48"/>
        <v>0.3242</v>
      </c>
      <c r="O113" s="188">
        <v>0.8042</v>
      </c>
      <c r="P113" s="14">
        <f>ROUND(-INPUT!$B$74*DETAIL!N113,4)</f>
        <v>-0.0421</v>
      </c>
      <c r="Q113" s="14">
        <f>Q$12</f>
        <v>0</v>
      </c>
      <c r="R113" s="14" t="e">
        <f>ROUND((Q113+#REF!+N113)/(1-INPUT!$B$79)-(Q113+#REF!+N113),4)</f>
        <v>#REF!</v>
      </c>
      <c r="S113" s="14">
        <f>ROUND((Q113+P113+N113)/(1-INPUT!$B$79)-(Q113+P113+N113),4)</f>
        <v>0.0078</v>
      </c>
      <c r="T113" s="129" t="e">
        <f>IF(ROUND(R113+Q113+#REF!+N113,2)&gt;(N113),ROUND(R113+Q113+#REF!+N113,2),ROUND(N113+0.01,2))</f>
        <v>#REF!</v>
      </c>
      <c r="U113" s="180">
        <f t="shared" si="49"/>
        <v>0.33</v>
      </c>
      <c r="V113" s="197">
        <v>0.81</v>
      </c>
    </row>
    <row r="114" spans="1:22" ht="14.25" thickBot="1" thickTop="1">
      <c r="A114" s="284"/>
      <c r="B114" s="290"/>
      <c r="C114" s="6" t="s">
        <v>190</v>
      </c>
      <c r="D114" s="12">
        <f>'CNTNR COST'!I112</f>
        <v>0.1628</v>
      </c>
      <c r="E114" s="11">
        <f>E112/32*12</f>
        <v>0.07335</v>
      </c>
      <c r="F114" s="11">
        <f>+$F$13</f>
        <v>0</v>
      </c>
      <c r="G114" s="15">
        <f>ROUND($G$11/32*12,4)</f>
        <v>0.0022</v>
      </c>
      <c r="H114" s="15">
        <f>ROUND($H$11/32*12,4)</f>
        <v>0</v>
      </c>
      <c r="I114" s="11">
        <f t="shared" si="50"/>
        <v>0.2384</v>
      </c>
      <c r="J114" s="11">
        <f t="shared" si="39"/>
        <v>0.008390890269151158</v>
      </c>
      <c r="K114" s="14">
        <f t="shared" si="51"/>
        <v>0.2468</v>
      </c>
      <c r="L114" s="11">
        <f>ROUND(L$11/32*12,4)</f>
        <v>-0.0468</v>
      </c>
      <c r="M114" s="11">
        <f>ROUND(M$11/32*12,4)</f>
        <v>0.0886</v>
      </c>
      <c r="N114" s="174">
        <f t="shared" si="48"/>
        <v>0.2886</v>
      </c>
      <c r="O114" s="188"/>
      <c r="P114" s="14">
        <f>ROUND(-INPUT!$B$74*DETAIL!N114,4)</f>
        <v>-0.0375</v>
      </c>
      <c r="Q114" s="14">
        <f>ROUND(Q$11/32*12,4)</f>
        <v>0</v>
      </c>
      <c r="R114" s="14"/>
      <c r="S114" s="14">
        <f>ROUND((Q114+P114+N114)/(1-INPUT!$B$79)-(Q114+P114+N114),4)</f>
        <v>0.007</v>
      </c>
      <c r="T114" s="128"/>
      <c r="U114" s="180">
        <f t="shared" si="49"/>
        <v>0.3</v>
      </c>
      <c r="V114" s="197"/>
    </row>
    <row r="115" spans="1:22" ht="14.25" thickBot="1" thickTop="1">
      <c r="A115" s="284"/>
      <c r="B115" s="290"/>
      <c r="C115" s="6" t="s">
        <v>56</v>
      </c>
      <c r="D115" s="12">
        <f>'CNTNR COST'!I113</f>
        <v>0.1419</v>
      </c>
      <c r="E115" s="11">
        <f>E112/32*10</f>
        <v>0.061125</v>
      </c>
      <c r="F115" s="11">
        <f>+$F$14</f>
        <v>0</v>
      </c>
      <c r="G115" s="15">
        <f>ROUND($G$11/32*10,4)</f>
        <v>0.0018</v>
      </c>
      <c r="H115" s="15">
        <f>ROUND($H$11/32*10,4)</f>
        <v>0</v>
      </c>
      <c r="I115" s="11">
        <f t="shared" si="50"/>
        <v>0.2048</v>
      </c>
      <c r="J115" s="11">
        <f t="shared" si="39"/>
        <v>0.007208281573498981</v>
      </c>
      <c r="K115" s="14">
        <f t="shared" si="51"/>
        <v>0.212</v>
      </c>
      <c r="L115" s="11">
        <f>ROUND(L$11/32*10,4)</f>
        <v>-0.039</v>
      </c>
      <c r="M115" s="11">
        <f>ROUND(M$11/32*10,4)</f>
        <v>0.0738</v>
      </c>
      <c r="N115" s="174">
        <f t="shared" si="48"/>
        <v>0.2468</v>
      </c>
      <c r="O115" s="188">
        <v>0.5177</v>
      </c>
      <c r="P115" s="14">
        <f>ROUND(-INPUT!$B$74*DETAIL!N115,4)</f>
        <v>-0.0321</v>
      </c>
      <c r="Q115" s="14">
        <f>Q$14</f>
        <v>0</v>
      </c>
      <c r="R115" s="14" t="e">
        <f>ROUND((Q115+#REF!+N115)/(1-INPUT!$B$79)-(Q115+#REF!+N115),4)</f>
        <v>#REF!</v>
      </c>
      <c r="S115" s="14">
        <f>ROUND((Q115+P115+N115)/(1-INPUT!$B$79)-(Q115+P115+N115),4)</f>
        <v>0.006</v>
      </c>
      <c r="T115" s="128" t="e">
        <f>IF(ROUND(R115+Q115+#REF!+N115,2)&gt;(N115),ROUND(R115+Q115+#REF!+N115,2),ROUND(N115+0.01,2))</f>
        <v>#REF!</v>
      </c>
      <c r="U115" s="180">
        <f t="shared" si="49"/>
        <v>0.26</v>
      </c>
      <c r="V115" s="197">
        <v>0.53</v>
      </c>
    </row>
    <row r="116" spans="1:22" ht="14.25" thickBot="1" thickTop="1">
      <c r="A116" s="284"/>
      <c r="B116" s="290"/>
      <c r="C116" s="6" t="s">
        <v>57</v>
      </c>
      <c r="D116" s="12">
        <f>'CNTNR COST'!I114</f>
        <v>0.0666</v>
      </c>
      <c r="E116" s="11">
        <f>E112/4</f>
        <v>0.0489</v>
      </c>
      <c r="F116" s="11">
        <f>+$F$15</f>
        <v>0.0146</v>
      </c>
      <c r="G116" s="15">
        <f>ROUND($G$11/4,4)</f>
        <v>0.0015</v>
      </c>
      <c r="H116" s="15">
        <f>ROUND($H$11/4,4)</f>
        <v>0</v>
      </c>
      <c r="I116" s="11">
        <f t="shared" si="50"/>
        <v>0.1316</v>
      </c>
      <c r="J116" s="11">
        <f t="shared" si="39"/>
        <v>0.00463188405797102</v>
      </c>
      <c r="K116" s="14">
        <f t="shared" si="51"/>
        <v>0.1362</v>
      </c>
      <c r="L116" s="11">
        <f>ROUND(L$11/4,4)</f>
        <v>-0.0312</v>
      </c>
      <c r="M116" s="11">
        <f>ROUND(M$11/4,4)</f>
        <v>0.0591</v>
      </c>
      <c r="N116" s="174">
        <f t="shared" si="48"/>
        <v>0.1641</v>
      </c>
      <c r="O116" s="188">
        <v>0.3991</v>
      </c>
      <c r="P116" s="14">
        <f>ROUND(-INPUT!$B$74*DETAIL!N116,4)</f>
        <v>-0.0213</v>
      </c>
      <c r="Q116" s="14">
        <f>Q$15</f>
        <v>0</v>
      </c>
      <c r="R116" s="14" t="e">
        <f>ROUND((Q116+#REF!+N116)/(1-INPUT!$B$79)-(Q116+#REF!+N116),4)</f>
        <v>#REF!</v>
      </c>
      <c r="S116" s="14">
        <f>ROUND((Q116+P116+N116)/(1-INPUT!$B$79)-(Q116+P116+N116),4)</f>
        <v>0.004</v>
      </c>
      <c r="T116" s="128" t="e">
        <f>IF(ROUND(R116+Q116+#REF!+N116,2)&gt;(N116),ROUND(R116+Q116+#REF!+N116,2),ROUND(N116+0.01,2))</f>
        <v>#REF!</v>
      </c>
      <c r="U116" s="180">
        <f t="shared" si="49"/>
        <v>0.17</v>
      </c>
      <c r="V116" s="197">
        <v>0.41</v>
      </c>
    </row>
    <row r="117" spans="1:22" ht="14.25" thickBot="1" thickTop="1">
      <c r="A117" s="284"/>
      <c r="B117" s="290"/>
      <c r="C117" s="6" t="s">
        <v>58</v>
      </c>
      <c r="D117" s="12">
        <f>'CNTNR COST'!I115</f>
        <v>0.0528</v>
      </c>
      <c r="E117" s="11">
        <f>E112/8</f>
        <v>0.02445</v>
      </c>
      <c r="F117" s="11">
        <f>+$F$16</f>
        <v>0.0181</v>
      </c>
      <c r="G117" s="15">
        <f>ROUND($G$11/8,4)</f>
        <v>0.0007</v>
      </c>
      <c r="H117" s="15">
        <f>ROUND($H$11/8,4)</f>
        <v>0</v>
      </c>
      <c r="I117" s="11">
        <f t="shared" si="50"/>
        <v>0.0961</v>
      </c>
      <c r="J117" s="11">
        <f t="shared" si="39"/>
        <v>0.003382401656314704</v>
      </c>
      <c r="K117" s="14">
        <f t="shared" si="51"/>
        <v>0.0995</v>
      </c>
      <c r="L117" s="11">
        <f>ROUND(L$11/8,4)</f>
        <v>-0.0156</v>
      </c>
      <c r="M117" s="11">
        <f>ROUND(M$11/8,4)</f>
        <v>0.0295</v>
      </c>
      <c r="N117" s="174">
        <f t="shared" si="48"/>
        <v>0.1134</v>
      </c>
      <c r="O117" s="188">
        <v>0.2301</v>
      </c>
      <c r="P117" s="14">
        <f>ROUND(-INPUT!$B$74*DETAIL!N117,4)</f>
        <v>-0.0147</v>
      </c>
      <c r="Q117" s="14">
        <f>Q$16</f>
        <v>0</v>
      </c>
      <c r="R117" s="14" t="e">
        <f>ROUND((Q117+#REF!+N117)/(1-INPUT!$B$79)-(Q117+#REF!+N117),4)</f>
        <v>#REF!</v>
      </c>
      <c r="S117" s="14">
        <f>ROUND((Q117+P117+N117)/(1-INPUT!$B$79)-(Q117+P117+N117),4)</f>
        <v>0.0027</v>
      </c>
      <c r="T117" s="128" t="e">
        <f>IF(ROUND(R117+Q117+#REF!+N117,2)&gt;(N117),ROUND(R117+Q117+#REF!+N117,2),ROUND(N117+0.01,2))</f>
        <v>#REF!</v>
      </c>
      <c r="U117" s="180">
        <f t="shared" si="49"/>
        <v>0.12</v>
      </c>
      <c r="V117" s="197">
        <v>0.24</v>
      </c>
    </row>
    <row r="118" spans="1:22" ht="14.25" thickBot="1" thickTop="1">
      <c r="A118" s="285"/>
      <c r="B118" s="291"/>
      <c r="C118" s="6" t="s">
        <v>78</v>
      </c>
      <c r="D118" s="23">
        <f>'CNTNR COST'!I116</f>
        <v>0.3036</v>
      </c>
      <c r="E118" s="24">
        <f>E112</f>
        <v>0.1956</v>
      </c>
      <c r="F118" s="24">
        <f>+$F$17</f>
        <v>0.0217</v>
      </c>
      <c r="G118" s="27">
        <f>ROUND($G$11,4)</f>
        <v>0.0058</v>
      </c>
      <c r="H118" s="27">
        <f>ROUND($H$11,4)</f>
        <v>0</v>
      </c>
      <c r="I118" s="24">
        <f t="shared" si="50"/>
        <v>0.5267</v>
      </c>
      <c r="J118" s="24">
        <f t="shared" si="39"/>
        <v>0.018538095238095242</v>
      </c>
      <c r="K118" s="29">
        <f t="shared" si="51"/>
        <v>0.5452</v>
      </c>
      <c r="L118" s="24">
        <f>L$11</f>
        <v>-0.1248</v>
      </c>
      <c r="M118" s="24">
        <f>M$11</f>
        <v>0.2362</v>
      </c>
      <c r="N118" s="175">
        <f t="shared" si="48"/>
        <v>0.6566</v>
      </c>
      <c r="O118" s="189">
        <v>1.516</v>
      </c>
      <c r="P118" s="29">
        <f>ROUND(-INPUT!$B$74*DETAIL!N118,4)</f>
        <v>-0.0854</v>
      </c>
      <c r="Q118" s="29">
        <f>Q$17</f>
        <v>0</v>
      </c>
      <c r="R118" s="29" t="e">
        <f>ROUND((Q118+#REF!+N118)/(1-INPUT!$B$79)-(Q118+#REF!+N118),4)</f>
        <v>#REF!</v>
      </c>
      <c r="S118" s="29">
        <f>ROUND((Q118+P118+N118)/(1-INPUT!$B$79)-(Q118+P118+N118),4)</f>
        <v>0.0159</v>
      </c>
      <c r="T118" s="130" t="e">
        <f>IF(ROUND(R118+Q118+#REF!+N118,2)&gt;(N118),ROUND(R118+Q118+#REF!+N118,2),ROUND(N118+0.01,2))</f>
        <v>#REF!</v>
      </c>
      <c r="U118" s="181">
        <f t="shared" si="49"/>
        <v>0.67</v>
      </c>
      <c r="V118" s="198">
        <v>1.53</v>
      </c>
    </row>
    <row r="119" spans="3:22" ht="14.25" thickBot="1" thickTop="1">
      <c r="C119" s="168"/>
      <c r="K119" s="30"/>
      <c r="N119" s="154"/>
      <c r="O119" s="191"/>
      <c r="P119" s="154"/>
      <c r="Q119" s="154"/>
      <c r="R119" s="154"/>
      <c r="S119" s="154"/>
      <c r="T119" s="153"/>
      <c r="V119" s="200"/>
    </row>
    <row r="120" spans="1:22" ht="14.25" thickBot="1" thickTop="1">
      <c r="A120" s="283" t="s">
        <v>178</v>
      </c>
      <c r="B120" s="289" t="s">
        <v>177</v>
      </c>
      <c r="C120" s="6" t="s">
        <v>55</v>
      </c>
      <c r="D120" s="22">
        <f>'CNTNR COST'!I118</f>
        <v>0.5324</v>
      </c>
      <c r="E120" s="10">
        <f>E121*2</f>
        <v>0.3912</v>
      </c>
      <c r="F120" s="10">
        <f>+$F$10</f>
        <v>-0.0299</v>
      </c>
      <c r="G120" s="10">
        <f>G121*2</f>
        <v>0.0116</v>
      </c>
      <c r="H120" s="26">
        <f>ROUND($H$11*2,6)</f>
        <v>0</v>
      </c>
      <c r="I120" s="10">
        <f aca="true" t="shared" si="52" ref="I120:I127">ROUND(SUM(D120:H120),4)</f>
        <v>0.9053</v>
      </c>
      <c r="J120" s="10">
        <f t="shared" si="39"/>
        <v>0.031863561076604596</v>
      </c>
      <c r="K120" s="28">
        <f aca="true" t="shared" si="53" ref="K120:K127">ROUND(I120+J120,4)</f>
        <v>0.9372</v>
      </c>
      <c r="L120" s="10">
        <f>ROUND(L$11*2,4)</f>
        <v>-0.2496</v>
      </c>
      <c r="M120" s="10">
        <f>ROUND(M$11*2,4)</f>
        <v>0.4724</v>
      </c>
      <c r="N120" s="173">
        <f aca="true" t="shared" si="54" ref="N120:N127">ROUND(SUM(K120:M120),4)</f>
        <v>1.16</v>
      </c>
      <c r="O120" s="187">
        <v>3.4121</v>
      </c>
      <c r="P120" s="28">
        <f>ROUND(-INPUT!$B$74*DETAIL!N120,4)</f>
        <v>-0.1508</v>
      </c>
      <c r="Q120" s="28">
        <f>Q$10</f>
        <v>0</v>
      </c>
      <c r="R120" s="28" t="e">
        <f>ROUND((Q120+#REF!+N120)/(1-INPUT!$B$79)-(Q120+#REF!+N120),4)</f>
        <v>#REF!</v>
      </c>
      <c r="S120" s="28">
        <f>ROUND((Q120+P120+N120)/(1-INPUT!$B$79)-(Q120+P120+N120),4)</f>
        <v>0.028</v>
      </c>
      <c r="T120" s="127" t="e">
        <f>IF(ROUND(R120+Q120+#REF!+N120,2)&gt;(N120),ROUND(R120+Q120+#REF!+N120,2),ROUND(N120+0.01,2))</f>
        <v>#REF!</v>
      </c>
      <c r="U120" s="179">
        <f aca="true" t="shared" si="55" ref="U120:U127">IF(ROUND(S120+Q120+P120+N120,2)&gt;(N120),ROUND(S120+Q120+P120+N120,2),ROUND(N120+0.01,2))</f>
        <v>1.17</v>
      </c>
      <c r="V120" s="196">
        <v>3.42</v>
      </c>
    </row>
    <row r="121" spans="1:22" ht="14.25" thickBot="1" thickTop="1">
      <c r="A121" s="284"/>
      <c r="B121" s="290"/>
      <c r="C121" s="6" t="s">
        <v>14</v>
      </c>
      <c r="D121" s="12">
        <f>'CNTNR COST'!I119</f>
        <v>0.2662</v>
      </c>
      <c r="E121" s="11">
        <f>CREAM_ADDON</f>
        <v>0.1956</v>
      </c>
      <c r="F121" s="11">
        <f>+$F$11</f>
        <v>0.0401</v>
      </c>
      <c r="G121" s="15">
        <f>ROUND(COST_UPDATE_ADJ,4)</f>
        <v>0.0058</v>
      </c>
      <c r="H121" s="15">
        <f>Energy_Addon</f>
        <v>0</v>
      </c>
      <c r="I121" s="11">
        <f t="shared" si="52"/>
        <v>0.5077</v>
      </c>
      <c r="J121" s="11">
        <f t="shared" si="39"/>
        <v>0.017869358178053796</v>
      </c>
      <c r="K121" s="14">
        <f t="shared" si="53"/>
        <v>0.5256</v>
      </c>
      <c r="L121" s="11">
        <f>$L$11</f>
        <v>-0.1248</v>
      </c>
      <c r="M121" s="11">
        <f>$M$11</f>
        <v>0.2362</v>
      </c>
      <c r="N121" s="174">
        <f t="shared" si="54"/>
        <v>0.637</v>
      </c>
      <c r="O121" s="188">
        <v>1.7366</v>
      </c>
      <c r="P121" s="14">
        <f>ROUND(-INPUT!$B$74*DETAIL!N121,4)</f>
        <v>-0.0828</v>
      </c>
      <c r="Q121" s="14">
        <f>Q$11</f>
        <v>0</v>
      </c>
      <c r="R121" s="14" t="e">
        <f>ROUND((Q121+#REF!+N121)/(1-INPUT!$B$79)-(Q121+#REF!+N121),4)</f>
        <v>#REF!</v>
      </c>
      <c r="S121" s="14">
        <f>ROUND((Q121+P121+N121)/(1-INPUT!$B$79)-(Q121+P121+N121),4)</f>
        <v>0.0154</v>
      </c>
      <c r="T121" s="128" t="e">
        <f>IF(ROUND(R121+Q121+#REF!+N121,2)&gt;(N121),ROUND(R121+Q121+#REF!+N121,2),ROUND(N121+0.01,2))</f>
        <v>#REF!</v>
      </c>
      <c r="U121" s="180">
        <f t="shared" si="55"/>
        <v>0.65</v>
      </c>
      <c r="V121" s="197">
        <v>1.75</v>
      </c>
    </row>
    <row r="122" spans="1:22" ht="14.25" thickBot="1" thickTop="1">
      <c r="A122" s="284"/>
      <c r="B122" s="290"/>
      <c r="C122" s="6" t="s">
        <v>15</v>
      </c>
      <c r="D122" s="12">
        <f>'CNTNR COST'!I120</f>
        <v>0.1331</v>
      </c>
      <c r="E122" s="11">
        <f>E121/2</f>
        <v>0.0978</v>
      </c>
      <c r="F122" s="11">
        <f>+$F$12</f>
        <v>0.0256</v>
      </c>
      <c r="G122" s="15">
        <f>ROUND($G$11/2,4)</f>
        <v>0.0029</v>
      </c>
      <c r="H122" s="15">
        <f>ROUND($H$11/2,4)</f>
        <v>0</v>
      </c>
      <c r="I122" s="11">
        <f t="shared" si="52"/>
        <v>0.2594</v>
      </c>
      <c r="J122" s="11">
        <f t="shared" si="39"/>
        <v>0.009130020703933761</v>
      </c>
      <c r="K122" s="14">
        <f t="shared" si="53"/>
        <v>0.2685</v>
      </c>
      <c r="L122" s="11">
        <f>ROUND(L$11/2,4)</f>
        <v>-0.0624</v>
      </c>
      <c r="M122" s="11">
        <f>ROUND(M$11/2,4)</f>
        <v>0.1181</v>
      </c>
      <c r="N122" s="174">
        <f t="shared" si="54"/>
        <v>0.3242</v>
      </c>
      <c r="O122" s="188">
        <v>0.9137</v>
      </c>
      <c r="P122" s="14">
        <f>ROUND(-INPUT!$B$74*DETAIL!N122,4)</f>
        <v>-0.0421</v>
      </c>
      <c r="Q122" s="14">
        <f>Q$12</f>
        <v>0</v>
      </c>
      <c r="R122" s="14" t="e">
        <f>ROUND((Q122+#REF!+N122)/(1-INPUT!$B$79)-(Q122+#REF!+N122),4)</f>
        <v>#REF!</v>
      </c>
      <c r="S122" s="14">
        <f>ROUND((Q122+P122+N122)/(1-INPUT!$B$79)-(Q122+P122+N122),4)</f>
        <v>0.0078</v>
      </c>
      <c r="T122" s="129" t="e">
        <f>IF(ROUND(R122+Q122+#REF!+N122,2)&gt;(N122),ROUND(R122+Q122+#REF!+N122,2),ROUND(N122+0.01,2))</f>
        <v>#REF!</v>
      </c>
      <c r="U122" s="180">
        <f t="shared" si="55"/>
        <v>0.33</v>
      </c>
      <c r="V122" s="197">
        <v>0.92</v>
      </c>
    </row>
    <row r="123" spans="1:22" ht="14.25" thickBot="1" thickTop="1">
      <c r="A123" s="284"/>
      <c r="B123" s="290"/>
      <c r="C123" s="6" t="s">
        <v>190</v>
      </c>
      <c r="D123" s="12">
        <f>'CNTNR COST'!I121</f>
        <v>0.1628</v>
      </c>
      <c r="E123" s="11">
        <f>E121/32*12</f>
        <v>0.07335</v>
      </c>
      <c r="F123" s="11">
        <f>+$F$13</f>
        <v>0</v>
      </c>
      <c r="G123" s="15">
        <f>ROUND($G$11/32*12,4)</f>
        <v>0.0022</v>
      </c>
      <c r="H123" s="15">
        <f>ROUND($H$11/32*12,4)</f>
        <v>0</v>
      </c>
      <c r="I123" s="11">
        <f t="shared" si="52"/>
        <v>0.2384</v>
      </c>
      <c r="J123" s="11">
        <f t="shared" si="39"/>
        <v>0.008390890269151158</v>
      </c>
      <c r="K123" s="14">
        <f t="shared" si="53"/>
        <v>0.2468</v>
      </c>
      <c r="L123" s="11">
        <f>ROUND(L$11/32*12,4)</f>
        <v>-0.0468</v>
      </c>
      <c r="M123" s="11">
        <f>ROUND(M$11/32*12,4)</f>
        <v>0.0886</v>
      </c>
      <c r="N123" s="174">
        <f t="shared" si="54"/>
        <v>0.2886</v>
      </c>
      <c r="O123" s="188"/>
      <c r="P123" s="14">
        <f>ROUND(-INPUT!$B$74*DETAIL!N123,4)</f>
        <v>-0.0375</v>
      </c>
      <c r="Q123" s="14">
        <f>ROUND(Q$11/32*12,4)</f>
        <v>0</v>
      </c>
      <c r="R123" s="14"/>
      <c r="S123" s="14">
        <f>ROUND((Q123+P123+N123)/(1-INPUT!$B$79)-(Q123+P123+N123),4)</f>
        <v>0.007</v>
      </c>
      <c r="T123" s="128"/>
      <c r="U123" s="180">
        <f t="shared" si="55"/>
        <v>0.3</v>
      </c>
      <c r="V123" s="197"/>
    </row>
    <row r="124" spans="1:22" ht="14.25" thickBot="1" thickTop="1">
      <c r="A124" s="284"/>
      <c r="B124" s="290"/>
      <c r="C124" s="6" t="s">
        <v>56</v>
      </c>
      <c r="D124" s="12">
        <f>'CNTNR COST'!I122</f>
        <v>0.1419</v>
      </c>
      <c r="E124" s="11">
        <f>E121/32*10</f>
        <v>0.061125</v>
      </c>
      <c r="F124" s="11">
        <f>+$F$14</f>
        <v>0</v>
      </c>
      <c r="G124" s="15">
        <f>ROUND($G$11/32*10,4)</f>
        <v>0.0018</v>
      </c>
      <c r="H124" s="15">
        <f>ROUND($H$11/32*10,4)</f>
        <v>0</v>
      </c>
      <c r="I124" s="11">
        <f t="shared" si="52"/>
        <v>0.2048</v>
      </c>
      <c r="J124" s="11">
        <f t="shared" si="39"/>
        <v>0.007208281573498981</v>
      </c>
      <c r="K124" s="14">
        <f t="shared" si="53"/>
        <v>0.212</v>
      </c>
      <c r="L124" s="11">
        <f>ROUND(L$11/32*10,4)</f>
        <v>-0.039</v>
      </c>
      <c r="M124" s="11">
        <f>ROUND(M$11/32*10,4)</f>
        <v>0.0738</v>
      </c>
      <c r="N124" s="174">
        <f t="shared" si="54"/>
        <v>0.2468</v>
      </c>
      <c r="O124" s="188">
        <v>0.5862</v>
      </c>
      <c r="P124" s="14">
        <f>ROUND(-INPUT!$B$74*DETAIL!N124,4)</f>
        <v>-0.0321</v>
      </c>
      <c r="Q124" s="14">
        <f>Q$14</f>
        <v>0</v>
      </c>
      <c r="R124" s="14" t="e">
        <f>ROUND((Q124+#REF!+N124)/(1-INPUT!$B$79)-(Q124+#REF!+N124),4)</f>
        <v>#REF!</v>
      </c>
      <c r="S124" s="14">
        <f>ROUND((Q124+P124+N124)/(1-INPUT!$B$79)-(Q124+P124+N124),4)</f>
        <v>0.006</v>
      </c>
      <c r="T124" s="128" t="e">
        <f>IF(ROUND(R124+Q124+#REF!+N124,2)&gt;(N124),ROUND(R124+Q124+#REF!+N124,2),ROUND(N124+0.01,2))</f>
        <v>#REF!</v>
      </c>
      <c r="U124" s="180">
        <f t="shared" si="55"/>
        <v>0.26</v>
      </c>
      <c r="V124" s="197">
        <v>0.6</v>
      </c>
    </row>
    <row r="125" spans="1:22" ht="14.25" thickBot="1" thickTop="1">
      <c r="A125" s="284"/>
      <c r="B125" s="290"/>
      <c r="C125" s="6" t="s">
        <v>57</v>
      </c>
      <c r="D125" s="12">
        <f>'CNTNR COST'!I123</f>
        <v>0.0666</v>
      </c>
      <c r="E125" s="11">
        <f>E121/4</f>
        <v>0.0489</v>
      </c>
      <c r="F125" s="11">
        <f>+$F$15</f>
        <v>0.0146</v>
      </c>
      <c r="G125" s="15">
        <f>ROUND($G$11/4,4)</f>
        <v>0.0015</v>
      </c>
      <c r="H125" s="15">
        <f>ROUND($H$11/4,4)</f>
        <v>0</v>
      </c>
      <c r="I125" s="11">
        <f t="shared" si="52"/>
        <v>0.1316</v>
      </c>
      <c r="J125" s="11">
        <f t="shared" si="39"/>
        <v>0.00463188405797102</v>
      </c>
      <c r="K125" s="14">
        <f t="shared" si="53"/>
        <v>0.1362</v>
      </c>
      <c r="L125" s="11">
        <f>ROUND(L$11/4,4)</f>
        <v>-0.0312</v>
      </c>
      <c r="M125" s="11">
        <f>ROUND(M$11/4,4)</f>
        <v>0.0591</v>
      </c>
      <c r="N125" s="174">
        <f t="shared" si="54"/>
        <v>0.1641</v>
      </c>
      <c r="O125" s="188">
        <v>0.4539</v>
      </c>
      <c r="P125" s="14">
        <f>ROUND(-INPUT!$B$74*DETAIL!N125,4)</f>
        <v>-0.0213</v>
      </c>
      <c r="Q125" s="14">
        <f>Q$15</f>
        <v>0</v>
      </c>
      <c r="R125" s="14" t="e">
        <f>ROUND((Q125+#REF!+N125)/(1-INPUT!$B$79)-(Q125+#REF!+N125),4)</f>
        <v>#REF!</v>
      </c>
      <c r="S125" s="14">
        <f>ROUND((Q125+P125+N125)/(1-INPUT!$B$79)-(Q125+P125+N125),4)</f>
        <v>0.004</v>
      </c>
      <c r="T125" s="128" t="e">
        <f>IF(ROUND(R125+Q125+#REF!+N125,2)&gt;(N125),ROUND(R125+Q125+#REF!+N125,2),ROUND(N125+0.01,2))</f>
        <v>#REF!</v>
      </c>
      <c r="U125" s="180">
        <f t="shared" si="55"/>
        <v>0.17</v>
      </c>
      <c r="V125" s="197">
        <v>0.46</v>
      </c>
    </row>
    <row r="126" spans="1:22" ht="14.25" thickBot="1" thickTop="1">
      <c r="A126" s="284"/>
      <c r="B126" s="290"/>
      <c r="C126" s="6" t="s">
        <v>58</v>
      </c>
      <c r="D126" s="12">
        <f>'CNTNR COST'!I124</f>
        <v>0.0528</v>
      </c>
      <c r="E126" s="11">
        <f>E121/8</f>
        <v>0.02445</v>
      </c>
      <c r="F126" s="11">
        <f>+$F$16</f>
        <v>0.0181</v>
      </c>
      <c r="G126" s="15">
        <f>ROUND($G$11/8,4)</f>
        <v>0.0007</v>
      </c>
      <c r="H126" s="15">
        <f>ROUND($H$11/8,4)</f>
        <v>0</v>
      </c>
      <c r="I126" s="11">
        <f t="shared" si="52"/>
        <v>0.0961</v>
      </c>
      <c r="J126" s="11">
        <f t="shared" si="39"/>
        <v>0.003382401656314704</v>
      </c>
      <c r="K126" s="14">
        <f t="shared" si="53"/>
        <v>0.0995</v>
      </c>
      <c r="L126" s="11">
        <f>ROUND(L$11/8,4)</f>
        <v>-0.0156</v>
      </c>
      <c r="M126" s="11">
        <f>ROUND(M$11/8,4)</f>
        <v>0.0295</v>
      </c>
      <c r="N126" s="174">
        <f t="shared" si="54"/>
        <v>0.1134</v>
      </c>
      <c r="O126" s="188">
        <v>0.2575</v>
      </c>
      <c r="P126" s="14">
        <f>ROUND(-INPUT!$B$74*DETAIL!N126,4)</f>
        <v>-0.0147</v>
      </c>
      <c r="Q126" s="14">
        <f>Q$16</f>
        <v>0</v>
      </c>
      <c r="R126" s="14" t="e">
        <f>ROUND((Q126+#REF!+N126)/(1-INPUT!$B$79)-(Q126+#REF!+N126),4)</f>
        <v>#REF!</v>
      </c>
      <c r="S126" s="14">
        <f>ROUND((Q126+P126+N126)/(1-INPUT!$B$79)-(Q126+P126+N126),4)</f>
        <v>0.0027</v>
      </c>
      <c r="T126" s="128" t="e">
        <f>IF(ROUND(R126+Q126+#REF!+N126,2)&gt;(N126),ROUND(R126+Q126+#REF!+N126,2),ROUND(N126+0.01,2))</f>
        <v>#REF!</v>
      </c>
      <c r="U126" s="180">
        <f t="shared" si="55"/>
        <v>0.12</v>
      </c>
      <c r="V126" s="197">
        <v>0.27</v>
      </c>
    </row>
    <row r="127" spans="1:22" ht="14.25" thickBot="1" thickTop="1">
      <c r="A127" s="285"/>
      <c r="B127" s="291"/>
      <c r="C127" s="6" t="s">
        <v>78</v>
      </c>
      <c r="D127" s="23">
        <f>'CNTNR COST'!I125</f>
        <v>0.3036</v>
      </c>
      <c r="E127" s="24">
        <f>E121</f>
        <v>0.1956</v>
      </c>
      <c r="F127" s="24">
        <f>+$F$17</f>
        <v>0.0217</v>
      </c>
      <c r="G127" s="27">
        <f>ROUND($G$11,4)</f>
        <v>0.0058</v>
      </c>
      <c r="H127" s="27">
        <f>ROUND($H$11,4)</f>
        <v>0</v>
      </c>
      <c r="I127" s="24">
        <f t="shared" si="52"/>
        <v>0.5267</v>
      </c>
      <c r="J127" s="24">
        <f t="shared" si="39"/>
        <v>0.018538095238095242</v>
      </c>
      <c r="K127" s="29">
        <f t="shared" si="53"/>
        <v>0.5452</v>
      </c>
      <c r="L127" s="24">
        <f>L$11</f>
        <v>-0.1248</v>
      </c>
      <c r="M127" s="24">
        <f>M$11</f>
        <v>0.2362</v>
      </c>
      <c r="N127" s="175">
        <f t="shared" si="54"/>
        <v>0.6566</v>
      </c>
      <c r="O127" s="189">
        <v>1.735</v>
      </c>
      <c r="P127" s="29">
        <f>ROUND(-INPUT!$B$74*DETAIL!N127,4)</f>
        <v>-0.0854</v>
      </c>
      <c r="Q127" s="29">
        <f>Q$17</f>
        <v>0</v>
      </c>
      <c r="R127" s="29" t="e">
        <f>ROUND((Q127+#REF!+N127)/(1-INPUT!$B$79)-(Q127+#REF!+N127),4)</f>
        <v>#REF!</v>
      </c>
      <c r="S127" s="29">
        <f>ROUND((Q127+P127+N127)/(1-INPUT!$B$79)-(Q127+P127+N127),4)</f>
        <v>0.0159</v>
      </c>
      <c r="T127" s="130" t="e">
        <f>IF(ROUND(R127+Q127+#REF!+N127,2)&gt;(N127),ROUND(R127+Q127+#REF!+N127,2),ROUND(N127+0.01,2))</f>
        <v>#REF!</v>
      </c>
      <c r="U127" s="181">
        <f t="shared" si="55"/>
        <v>0.67</v>
      </c>
      <c r="V127" s="198">
        <v>1.75</v>
      </c>
    </row>
    <row r="128" spans="3:22" ht="14.25" thickBot="1" thickTop="1">
      <c r="C128" s="168"/>
      <c r="K128" s="30"/>
      <c r="N128" s="154"/>
      <c r="O128" s="191"/>
      <c r="P128" s="154"/>
      <c r="Q128" s="154"/>
      <c r="R128" s="154"/>
      <c r="S128" s="154"/>
      <c r="T128" s="153"/>
      <c r="V128" s="200"/>
    </row>
    <row r="129" spans="1:22" ht="14.25" thickBot="1" thickTop="1">
      <c r="A129" s="283" t="s">
        <v>179</v>
      </c>
      <c r="B129" s="289" t="s">
        <v>177</v>
      </c>
      <c r="C129" s="6" t="s">
        <v>55</v>
      </c>
      <c r="D129" s="22">
        <f>'CNTNR COST'!I127</f>
        <v>0.5324</v>
      </c>
      <c r="E129" s="10">
        <f>E130*2</f>
        <v>0.3912</v>
      </c>
      <c r="F129" s="10">
        <f>+$F$10</f>
        <v>-0.0299</v>
      </c>
      <c r="G129" s="10">
        <f>G130*2</f>
        <v>0.0116</v>
      </c>
      <c r="H129" s="26">
        <f>ROUND($H$11*2,6)</f>
        <v>0</v>
      </c>
      <c r="I129" s="10">
        <f aca="true" t="shared" si="56" ref="I129:I136">ROUND(SUM(D129:H129),4)</f>
        <v>0.9053</v>
      </c>
      <c r="J129" s="10">
        <f t="shared" si="39"/>
        <v>0.031863561076604596</v>
      </c>
      <c r="K129" s="28">
        <f aca="true" t="shared" si="57" ref="K129:K136">ROUND(I129+J129,4)</f>
        <v>0.9372</v>
      </c>
      <c r="L129" s="10">
        <f>ROUND(L$11*2,4)</f>
        <v>-0.2496</v>
      </c>
      <c r="M129" s="10">
        <f>ROUND(M$11*2,4)</f>
        <v>0.4724</v>
      </c>
      <c r="N129" s="173">
        <f aca="true" t="shared" si="58" ref="N129:N136">ROUND(SUM(K129:M129),4)</f>
        <v>1.16</v>
      </c>
      <c r="O129" s="187">
        <v>3.7575</v>
      </c>
      <c r="P129" s="28">
        <f>ROUND(-INPUT!$B$74*DETAIL!N129,4)</f>
        <v>-0.1508</v>
      </c>
      <c r="Q129" s="28">
        <f>Q$10</f>
        <v>0</v>
      </c>
      <c r="R129" s="28" t="e">
        <f>ROUND((Q129+#REF!+N129)/(1-INPUT!$B$79)-(Q129+#REF!+N129),4)</f>
        <v>#REF!</v>
      </c>
      <c r="S129" s="28">
        <f>ROUND((Q129+P129+N129)/(1-INPUT!$B$79)-(Q129+P129+N129),4)</f>
        <v>0.028</v>
      </c>
      <c r="T129" s="127" t="e">
        <f>IF(ROUND(R129+Q129+#REF!+N129,2)&gt;(N129),ROUND(R129+Q129+#REF!+N129,2),ROUND(N129+0.01,2))</f>
        <v>#REF!</v>
      </c>
      <c r="U129" s="179">
        <f aca="true" t="shared" si="59" ref="U129:U136">IF(ROUND(S129+Q129+P129+N129,2)&gt;(N129),ROUND(S129+Q129+P129+N129,2),ROUND(N129+0.01,2))</f>
        <v>1.17</v>
      </c>
      <c r="V129" s="196">
        <v>3.77</v>
      </c>
    </row>
    <row r="130" spans="1:22" ht="14.25" thickBot="1" thickTop="1">
      <c r="A130" s="284"/>
      <c r="B130" s="290"/>
      <c r="C130" s="6" t="s">
        <v>14</v>
      </c>
      <c r="D130" s="12">
        <f>'CNTNR COST'!I128</f>
        <v>0.2662</v>
      </c>
      <c r="E130" s="11">
        <f>CREAM_ADDON</f>
        <v>0.1956</v>
      </c>
      <c r="F130" s="11">
        <f>+$F$11</f>
        <v>0.0401</v>
      </c>
      <c r="G130" s="15">
        <f>ROUND(COST_UPDATE_ADJ,4)</f>
        <v>0.0058</v>
      </c>
      <c r="H130" s="15">
        <f>Energy_Addon</f>
        <v>0</v>
      </c>
      <c r="I130" s="11">
        <f t="shared" si="56"/>
        <v>0.5077</v>
      </c>
      <c r="J130" s="11">
        <f t="shared" si="39"/>
        <v>0.017869358178053796</v>
      </c>
      <c r="K130" s="14">
        <f t="shared" si="57"/>
        <v>0.5256</v>
      </c>
      <c r="L130" s="11">
        <f>$L$11</f>
        <v>-0.1248</v>
      </c>
      <c r="M130" s="11">
        <f>$M$11</f>
        <v>0.2362</v>
      </c>
      <c r="N130" s="174">
        <f t="shared" si="58"/>
        <v>0.637</v>
      </c>
      <c r="O130" s="188">
        <v>1.9093</v>
      </c>
      <c r="P130" s="14">
        <f>ROUND(-INPUT!$B$74*DETAIL!N130,4)</f>
        <v>-0.0828</v>
      </c>
      <c r="Q130" s="14">
        <f>Q$11</f>
        <v>0</v>
      </c>
      <c r="R130" s="14" t="e">
        <f>ROUND((Q130+#REF!+N130)/(1-INPUT!$B$79)-(Q130+#REF!+N130),4)</f>
        <v>#REF!</v>
      </c>
      <c r="S130" s="14">
        <f>ROUND((Q130+P130+N130)/(1-INPUT!$B$79)-(Q130+P130+N130),4)</f>
        <v>0.0154</v>
      </c>
      <c r="T130" s="128" t="e">
        <f>IF(ROUND(R130+Q130+#REF!+N130,2)&gt;(N130),ROUND(R130+Q130+#REF!+N130,2),ROUND(N130+0.01,2))</f>
        <v>#REF!</v>
      </c>
      <c r="U130" s="180">
        <f t="shared" si="59"/>
        <v>0.65</v>
      </c>
      <c r="V130" s="197">
        <v>1.92</v>
      </c>
    </row>
    <row r="131" spans="1:22" ht="14.25" thickBot="1" thickTop="1">
      <c r="A131" s="284"/>
      <c r="B131" s="290"/>
      <c r="C131" s="6" t="s">
        <v>15</v>
      </c>
      <c r="D131" s="12">
        <f>'CNTNR COST'!I129</f>
        <v>0.1331</v>
      </c>
      <c r="E131" s="11">
        <f>E130/2</f>
        <v>0.0978</v>
      </c>
      <c r="F131" s="11">
        <f>+$F$12</f>
        <v>0.0256</v>
      </c>
      <c r="G131" s="15">
        <f>ROUND($G$11/2,4)</f>
        <v>0.0029</v>
      </c>
      <c r="H131" s="15">
        <f>ROUND($H$11/2,4)</f>
        <v>0</v>
      </c>
      <c r="I131" s="11">
        <f t="shared" si="56"/>
        <v>0.2594</v>
      </c>
      <c r="J131" s="11">
        <f t="shared" si="39"/>
        <v>0.009130020703933761</v>
      </c>
      <c r="K131" s="14">
        <f t="shared" si="57"/>
        <v>0.2685</v>
      </c>
      <c r="L131" s="11">
        <f>ROUND(L$11/2,4)</f>
        <v>-0.0624</v>
      </c>
      <c r="M131" s="11">
        <f>ROUND(M$11/2,4)</f>
        <v>0.1181</v>
      </c>
      <c r="N131" s="174">
        <f t="shared" si="58"/>
        <v>0.3242</v>
      </c>
      <c r="O131" s="188">
        <v>1.0001</v>
      </c>
      <c r="P131" s="14">
        <f>ROUND(-INPUT!$B$74*DETAIL!N131,4)</f>
        <v>-0.0421</v>
      </c>
      <c r="Q131" s="14">
        <f>Q$12</f>
        <v>0</v>
      </c>
      <c r="R131" s="14" t="e">
        <f>ROUND((Q131+#REF!+N131)/(1-INPUT!$B$79)-(Q131+#REF!+N131),4)</f>
        <v>#REF!</v>
      </c>
      <c r="S131" s="14">
        <f>ROUND((Q131+P131+N131)/(1-INPUT!$B$79)-(Q131+P131+N131),4)</f>
        <v>0.0078</v>
      </c>
      <c r="T131" s="129" t="e">
        <f>IF(ROUND(R131+Q131+#REF!+N131,2)&gt;(N131),ROUND(R131+Q131+#REF!+N131,2),ROUND(N131+0.01,2))</f>
        <v>#REF!</v>
      </c>
      <c r="U131" s="180">
        <f t="shared" si="59"/>
        <v>0.33</v>
      </c>
      <c r="V131" s="197">
        <v>1.01</v>
      </c>
    </row>
    <row r="132" spans="1:22" ht="14.25" thickBot="1" thickTop="1">
      <c r="A132" s="284"/>
      <c r="B132" s="290"/>
      <c r="C132" s="6" t="s">
        <v>190</v>
      </c>
      <c r="D132" s="12">
        <f>'CNTNR COST'!I130</f>
        <v>0.1628</v>
      </c>
      <c r="E132" s="11">
        <f>E130/32*12</f>
        <v>0.07335</v>
      </c>
      <c r="F132" s="11">
        <f>+$F$13</f>
        <v>0</v>
      </c>
      <c r="G132" s="15">
        <f>ROUND($G$11/32*12,4)</f>
        <v>0.0022</v>
      </c>
      <c r="H132" s="15">
        <f>ROUND($H$11/32*12,4)</f>
        <v>0</v>
      </c>
      <c r="I132" s="11">
        <f t="shared" si="56"/>
        <v>0.2384</v>
      </c>
      <c r="J132" s="11">
        <f t="shared" si="39"/>
        <v>0.008390890269151158</v>
      </c>
      <c r="K132" s="14">
        <f t="shared" si="57"/>
        <v>0.2468</v>
      </c>
      <c r="L132" s="11">
        <f>ROUND(L$11/32*12,4)</f>
        <v>-0.0468</v>
      </c>
      <c r="M132" s="11">
        <f>ROUND(M$11/32*12,4)</f>
        <v>0.0886</v>
      </c>
      <c r="N132" s="174">
        <f t="shared" si="58"/>
        <v>0.2886</v>
      </c>
      <c r="O132" s="188"/>
      <c r="P132" s="14">
        <f>ROUND(-INPUT!$B$74*DETAIL!N132,4)</f>
        <v>-0.0375</v>
      </c>
      <c r="Q132" s="14">
        <f>ROUND(Q$11/32*12,4)</f>
        <v>0</v>
      </c>
      <c r="R132" s="14"/>
      <c r="S132" s="14">
        <f>ROUND((Q132+P132+N132)/(1-INPUT!$B$79)-(Q132+P132+N132),4)</f>
        <v>0.007</v>
      </c>
      <c r="T132" s="128"/>
      <c r="U132" s="180">
        <f t="shared" si="59"/>
        <v>0.3</v>
      </c>
      <c r="V132" s="197"/>
    </row>
    <row r="133" spans="1:22" ht="14.25" thickBot="1" thickTop="1">
      <c r="A133" s="284"/>
      <c r="B133" s="290"/>
      <c r="C133" s="6" t="s">
        <v>56</v>
      </c>
      <c r="D133" s="12">
        <f>'CNTNR COST'!I131</f>
        <v>0.1419</v>
      </c>
      <c r="E133" s="11">
        <f>E130/32*10</f>
        <v>0.061125</v>
      </c>
      <c r="F133" s="11">
        <f>+$F$14</f>
        <v>0</v>
      </c>
      <c r="G133" s="15">
        <f>ROUND($G$11/32*10,4)</f>
        <v>0.0018</v>
      </c>
      <c r="H133" s="15">
        <f>ROUND($H$11/32*10,4)</f>
        <v>0</v>
      </c>
      <c r="I133" s="11">
        <f t="shared" si="56"/>
        <v>0.2048</v>
      </c>
      <c r="J133" s="11">
        <f t="shared" si="39"/>
        <v>0.007208281573498981</v>
      </c>
      <c r="K133" s="14">
        <f t="shared" si="57"/>
        <v>0.212</v>
      </c>
      <c r="L133" s="11">
        <f>ROUND(L$11/32*10,4)</f>
        <v>-0.039</v>
      </c>
      <c r="M133" s="11">
        <f>ROUND(M$11/32*10,4)</f>
        <v>0.0738</v>
      </c>
      <c r="N133" s="174">
        <f t="shared" si="58"/>
        <v>0.2468</v>
      </c>
      <c r="O133" s="188">
        <v>0.6402</v>
      </c>
      <c r="P133" s="14">
        <f>ROUND(-INPUT!$B$74*DETAIL!N133,4)</f>
        <v>-0.0321</v>
      </c>
      <c r="Q133" s="14">
        <f>Q$14</f>
        <v>0</v>
      </c>
      <c r="R133" s="14" t="e">
        <f>ROUND((Q133+#REF!+N133)/(1-INPUT!$B$79)-(Q133+#REF!+N133),4)</f>
        <v>#REF!</v>
      </c>
      <c r="S133" s="14">
        <f>ROUND((Q133+P133+N133)/(1-INPUT!$B$79)-(Q133+P133+N133),4)</f>
        <v>0.006</v>
      </c>
      <c r="T133" s="128" t="e">
        <f>IF(ROUND(R133+Q133+#REF!+N133,2)&gt;(N133),ROUND(R133+Q133+#REF!+N133,2),ROUND(N133+0.01,2))</f>
        <v>#REF!</v>
      </c>
      <c r="U133" s="180">
        <f t="shared" si="59"/>
        <v>0.26</v>
      </c>
      <c r="V133" s="197">
        <v>0.65</v>
      </c>
    </row>
    <row r="134" spans="1:22" ht="14.25" thickBot="1" thickTop="1">
      <c r="A134" s="284"/>
      <c r="B134" s="290"/>
      <c r="C134" s="6" t="s">
        <v>57</v>
      </c>
      <c r="D134" s="12">
        <f>'CNTNR COST'!I132</f>
        <v>0.0666</v>
      </c>
      <c r="E134" s="11">
        <f>E130/4</f>
        <v>0.0489</v>
      </c>
      <c r="F134" s="11">
        <f>+$F$15</f>
        <v>0.0146</v>
      </c>
      <c r="G134" s="15">
        <f>ROUND($G$11/4,4)</f>
        <v>0.0015</v>
      </c>
      <c r="H134" s="15">
        <f>ROUND($H$11/4,4)</f>
        <v>0</v>
      </c>
      <c r="I134" s="11">
        <f t="shared" si="56"/>
        <v>0.1316</v>
      </c>
      <c r="J134" s="11">
        <f t="shared" si="39"/>
        <v>0.00463188405797102</v>
      </c>
      <c r="K134" s="14">
        <f t="shared" si="57"/>
        <v>0.1362</v>
      </c>
      <c r="L134" s="11">
        <f>ROUND(L$11/4,4)</f>
        <v>-0.0312</v>
      </c>
      <c r="M134" s="11">
        <f>ROUND(M$11/4,4)</f>
        <v>0.0591</v>
      </c>
      <c r="N134" s="174">
        <f t="shared" si="58"/>
        <v>0.1641</v>
      </c>
      <c r="O134" s="188">
        <v>0.497</v>
      </c>
      <c r="P134" s="14">
        <f>ROUND(-INPUT!$B$74*DETAIL!N134,4)</f>
        <v>-0.0213</v>
      </c>
      <c r="Q134" s="14">
        <f>Q$15</f>
        <v>0</v>
      </c>
      <c r="R134" s="14" t="e">
        <f>ROUND((Q134+#REF!+N134)/(1-INPUT!$B$79)-(Q134+#REF!+N134),4)</f>
        <v>#REF!</v>
      </c>
      <c r="S134" s="14">
        <f>ROUND((Q134+P134+N134)/(1-INPUT!$B$79)-(Q134+P134+N134),4)</f>
        <v>0.004</v>
      </c>
      <c r="T134" s="128" t="e">
        <f>IF(ROUND(R134+Q134+#REF!+N134,2)&gt;(N134),ROUND(R134+Q134+#REF!+N134,2),ROUND(N134+0.01,2))</f>
        <v>#REF!</v>
      </c>
      <c r="U134" s="180">
        <f t="shared" si="59"/>
        <v>0.17</v>
      </c>
      <c r="V134" s="197">
        <v>0.51</v>
      </c>
    </row>
    <row r="135" spans="1:22" ht="14.25" thickBot="1" thickTop="1">
      <c r="A135" s="284"/>
      <c r="B135" s="290"/>
      <c r="C135" s="6" t="s">
        <v>58</v>
      </c>
      <c r="D135" s="12">
        <f>'CNTNR COST'!I133</f>
        <v>0.0528</v>
      </c>
      <c r="E135" s="11">
        <f>E130/8</f>
        <v>0.02445</v>
      </c>
      <c r="F135" s="11">
        <f>+$F$16</f>
        <v>0.0181</v>
      </c>
      <c r="G135" s="15">
        <f>ROUND($G$11/8,4)</f>
        <v>0.0007</v>
      </c>
      <c r="H135" s="15">
        <f>ROUND($H$11/8,4)</f>
        <v>0</v>
      </c>
      <c r="I135" s="11">
        <f t="shared" si="56"/>
        <v>0.0961</v>
      </c>
      <c r="J135" s="11">
        <f t="shared" si="39"/>
        <v>0.003382401656314704</v>
      </c>
      <c r="K135" s="14">
        <f t="shared" si="57"/>
        <v>0.0995</v>
      </c>
      <c r="L135" s="11">
        <f>ROUND(L$11/8,4)</f>
        <v>-0.0156</v>
      </c>
      <c r="M135" s="11">
        <f>ROUND(M$11/8,4)</f>
        <v>0.0295</v>
      </c>
      <c r="N135" s="174">
        <f t="shared" si="58"/>
        <v>0.1134</v>
      </c>
      <c r="O135" s="188">
        <v>0.2791</v>
      </c>
      <c r="P135" s="14">
        <f>ROUND(-INPUT!$B$74*DETAIL!N135,4)</f>
        <v>-0.0147</v>
      </c>
      <c r="Q135" s="14">
        <f>Q$16</f>
        <v>0</v>
      </c>
      <c r="R135" s="14" t="e">
        <f>ROUND((Q135+#REF!+N135)/(1-INPUT!$B$79)-(Q135+#REF!+N135),4)</f>
        <v>#REF!</v>
      </c>
      <c r="S135" s="14">
        <f>ROUND((Q135+P135+N135)/(1-INPUT!$B$79)-(Q135+P135+N135),4)</f>
        <v>0.0027</v>
      </c>
      <c r="T135" s="128" t="e">
        <f>IF(ROUND(R135+Q135+#REF!+N135,2)&gt;(N135),ROUND(R135+Q135+#REF!+N135,2),ROUND(N135+0.01,2))</f>
        <v>#REF!</v>
      </c>
      <c r="U135" s="180">
        <f t="shared" si="59"/>
        <v>0.12</v>
      </c>
      <c r="V135" s="197">
        <v>0.29</v>
      </c>
    </row>
    <row r="136" spans="1:23" ht="14.25" thickBot="1" thickTop="1">
      <c r="A136" s="285"/>
      <c r="B136" s="291"/>
      <c r="C136" s="6" t="s">
        <v>78</v>
      </c>
      <c r="D136" s="23">
        <f>'CNTNR COST'!I134</f>
        <v>0.3036</v>
      </c>
      <c r="E136" s="24">
        <f>E130</f>
        <v>0.1956</v>
      </c>
      <c r="F136" s="24">
        <f>+$F$17</f>
        <v>0.0217</v>
      </c>
      <c r="G136" s="27">
        <f>ROUND($G$11,4)</f>
        <v>0.0058</v>
      </c>
      <c r="H136" s="27">
        <f>ROUND($H$11,4)</f>
        <v>0</v>
      </c>
      <c r="I136" s="24">
        <f t="shared" si="56"/>
        <v>0.5267</v>
      </c>
      <c r="J136" s="24">
        <f t="shared" si="39"/>
        <v>0.018538095238095242</v>
      </c>
      <c r="K136" s="29">
        <f t="shared" si="57"/>
        <v>0.5452</v>
      </c>
      <c r="L136" s="24">
        <f>L$11</f>
        <v>-0.1248</v>
      </c>
      <c r="M136" s="24">
        <f>M$11</f>
        <v>0.2362</v>
      </c>
      <c r="N136" s="175">
        <f t="shared" si="58"/>
        <v>0.6566</v>
      </c>
      <c r="O136" s="189">
        <v>1.9077</v>
      </c>
      <c r="P136" s="29">
        <f>ROUND(-INPUT!$B$74*DETAIL!N136,4)</f>
        <v>-0.0854</v>
      </c>
      <c r="Q136" s="29">
        <f>Q$17</f>
        <v>0</v>
      </c>
      <c r="R136" s="29" t="e">
        <f>ROUND((Q136+#REF!+N136)/(1-INPUT!$B$79)-(Q136+#REF!+N136),4)</f>
        <v>#REF!</v>
      </c>
      <c r="S136" s="29">
        <f>ROUND((Q136+P136+N136)/(1-INPUT!$B$79)-(Q136+P136+N136),4)</f>
        <v>0.0159</v>
      </c>
      <c r="T136" s="130" t="e">
        <f>IF(ROUND(R136+Q136+#REF!+N136,2)&gt;(N136),ROUND(R136+Q136+#REF!+N136,2),ROUND(N136+0.01,2))</f>
        <v>#REF!</v>
      </c>
      <c r="U136" s="181">
        <f t="shared" si="59"/>
        <v>0.67</v>
      </c>
      <c r="V136" s="198">
        <v>1.92</v>
      </c>
      <c r="W136" s="151"/>
    </row>
    <row r="137" spans="3:22" ht="14.25" thickBot="1" thickTop="1">
      <c r="C137" s="25" t="s">
        <v>65</v>
      </c>
      <c r="K137" s="30"/>
      <c r="M137" s="153"/>
      <c r="N137" s="154"/>
      <c r="O137" s="191"/>
      <c r="P137" s="154"/>
      <c r="Q137" s="154"/>
      <c r="R137" s="154"/>
      <c r="S137" s="154"/>
      <c r="T137" s="153"/>
      <c r="V137" s="200"/>
    </row>
    <row r="138" spans="1:22" ht="14.25" thickBot="1" thickTop="1">
      <c r="A138" s="283" t="s">
        <v>65</v>
      </c>
      <c r="B138" s="289"/>
      <c r="C138" s="6" t="s">
        <v>55</v>
      </c>
      <c r="D138" s="22">
        <f>'CNTNR COST'!I136</f>
        <v>0.5324</v>
      </c>
      <c r="E138" s="10">
        <f>+E139*2</f>
        <v>1.3854</v>
      </c>
      <c r="F138" s="10">
        <f>+$F$10</f>
        <v>-0.0299</v>
      </c>
      <c r="G138" s="10">
        <f>G139*2</f>
        <v>0.0116</v>
      </c>
      <c r="H138" s="26">
        <f>ROUND($H$11*2,6)</f>
        <v>0</v>
      </c>
      <c r="I138" s="10">
        <f aca="true" t="shared" si="60" ref="I138:I145">ROUND(SUM(D138:H138),4)</f>
        <v>1.8995</v>
      </c>
      <c r="J138" s="10">
        <f t="shared" si="39"/>
        <v>0.06685610766045547</v>
      </c>
      <c r="K138" s="28">
        <f aca="true" t="shared" si="61" ref="K138:K145">ROUND(I138+J138,4)</f>
        <v>1.9664</v>
      </c>
      <c r="L138" s="10">
        <f>ROUND(L$11*2,4)</f>
        <v>-0.2496</v>
      </c>
      <c r="M138" s="10">
        <f>ROUND(M$11*2,4)</f>
        <v>0.4724</v>
      </c>
      <c r="N138" s="173">
        <f aca="true" t="shared" si="62" ref="N138:N145">ROUND(SUM(K138:M138),4)</f>
        <v>2.1892</v>
      </c>
      <c r="O138" s="187">
        <v>3.5626</v>
      </c>
      <c r="P138" s="28">
        <f>ROUND(-INPUT!$B$74*DETAIL!N138,4)</f>
        <v>-0.2846</v>
      </c>
      <c r="Q138" s="28">
        <f>Q$10</f>
        <v>0</v>
      </c>
      <c r="R138" s="28" t="e">
        <f>ROUND((Q138+#REF!+N138)/(1-INPUT!$B$79)-(Q138+#REF!+N138),4)</f>
        <v>#REF!</v>
      </c>
      <c r="S138" s="28">
        <f>ROUND((Q138+P138+N138)/(1-INPUT!$B$79)-(Q138+P138+N138),4)</f>
        <v>0.0529</v>
      </c>
      <c r="T138" s="127" t="e">
        <f>IF(ROUND(R138+Q138+#REF!+N138,2)&gt;(N138),ROUND(R138+Q138+#REF!+N138,2),ROUND(N138+0.01,2))</f>
        <v>#REF!</v>
      </c>
      <c r="U138" s="179">
        <f aca="true" t="shared" si="63" ref="U138:U145">IF(ROUND(S138+Q138+P138+N138,2)&gt;(N138),ROUND(S138+Q138+P138+N138,2),ROUND(N138+0.01,2))</f>
        <v>2.2</v>
      </c>
      <c r="V138" s="196">
        <v>3.57</v>
      </c>
    </row>
    <row r="139" spans="1:22" ht="14.25" thickBot="1" thickTop="1">
      <c r="A139" s="284"/>
      <c r="B139" s="290"/>
      <c r="C139" s="6" t="s">
        <v>14</v>
      </c>
      <c r="D139" s="12">
        <f>'CNTNR COST'!I137</f>
        <v>0.2662</v>
      </c>
      <c r="E139" s="11">
        <f>SC_ADDON</f>
        <v>0.6927</v>
      </c>
      <c r="F139" s="11">
        <f>+$F$11</f>
        <v>0.0401</v>
      </c>
      <c r="G139" s="15">
        <f>ROUND(COST_UPDATE_ADJ,4)</f>
        <v>0.0058</v>
      </c>
      <c r="H139" s="15">
        <f>Energy_Addon</f>
        <v>0</v>
      </c>
      <c r="I139" s="11">
        <f t="shared" si="60"/>
        <v>1.0048</v>
      </c>
      <c r="J139" s="11">
        <f t="shared" si="39"/>
        <v>0.035365631469979286</v>
      </c>
      <c r="K139" s="14">
        <f t="shared" si="61"/>
        <v>1.0402</v>
      </c>
      <c r="L139" s="11">
        <f>$L$11</f>
        <v>-0.1248</v>
      </c>
      <c r="M139" s="11">
        <f>$M$11</f>
        <v>0.2362</v>
      </c>
      <c r="N139" s="174">
        <f t="shared" si="62"/>
        <v>1.1516</v>
      </c>
      <c r="O139" s="188">
        <v>1.7975</v>
      </c>
      <c r="P139" s="14">
        <f>ROUND(-INPUT!$B$74*DETAIL!N139,4)</f>
        <v>-0.1497</v>
      </c>
      <c r="Q139" s="14">
        <f>Q$11</f>
        <v>0</v>
      </c>
      <c r="R139" s="14" t="e">
        <f>ROUND((Q139+#REF!+N139)/(1-INPUT!$B$79)-(Q139+#REF!+N139),4)</f>
        <v>#REF!</v>
      </c>
      <c r="S139" s="14">
        <f>ROUND((Q139+P139+N139)/(1-INPUT!$B$79)-(Q139+P139+N139),4)</f>
        <v>0.0278</v>
      </c>
      <c r="T139" s="128" t="e">
        <f>IF(ROUND(R139+Q139+#REF!+N139,2)&gt;(N139),ROUND(R139+Q139+#REF!+N139,2),ROUND(N139+0.01,2))</f>
        <v>#REF!</v>
      </c>
      <c r="U139" s="180">
        <f t="shared" si="63"/>
        <v>1.16</v>
      </c>
      <c r="V139" s="197">
        <v>1.81</v>
      </c>
    </row>
    <row r="140" spans="1:22" ht="14.25" thickBot="1" thickTop="1">
      <c r="A140" s="284"/>
      <c r="B140" s="290"/>
      <c r="C140" s="6" t="s">
        <v>15</v>
      </c>
      <c r="D140" s="12">
        <f>'CNTNR COST'!I138</f>
        <v>0.1331</v>
      </c>
      <c r="E140" s="11">
        <f>E139/2</f>
        <v>0.34635</v>
      </c>
      <c r="F140" s="11">
        <f>+$F$12</f>
        <v>0.0256</v>
      </c>
      <c r="G140" s="15">
        <f>ROUND($G$11/2,4)</f>
        <v>0.0029</v>
      </c>
      <c r="H140" s="15">
        <f>ROUND($H$11/2,4)</f>
        <v>0</v>
      </c>
      <c r="I140" s="11">
        <f t="shared" si="60"/>
        <v>0.508</v>
      </c>
      <c r="J140" s="11">
        <f t="shared" si="39"/>
        <v>0.01787991718426507</v>
      </c>
      <c r="K140" s="14">
        <f t="shared" si="61"/>
        <v>0.5259</v>
      </c>
      <c r="L140" s="11">
        <f>ROUND(L$11/2,4)</f>
        <v>-0.0624</v>
      </c>
      <c r="M140" s="11">
        <f>ROUND(M$11/2,4)</f>
        <v>0.1181</v>
      </c>
      <c r="N140" s="174">
        <f t="shared" si="62"/>
        <v>0.5816</v>
      </c>
      <c r="O140" s="188">
        <v>0.9192</v>
      </c>
      <c r="P140" s="14">
        <f>ROUND(-INPUT!$B$74*DETAIL!N140,4)</f>
        <v>-0.0756</v>
      </c>
      <c r="Q140" s="14">
        <f>Q$12</f>
        <v>0</v>
      </c>
      <c r="R140" s="14" t="e">
        <f>ROUND((Q140+#REF!+N140)/(1-INPUT!$B$79)-(Q140+#REF!+N140),4)</f>
        <v>#REF!</v>
      </c>
      <c r="S140" s="14">
        <f>ROUND((Q140+P140+N140)/(1-INPUT!$B$79)-(Q140+P140+N140),4)</f>
        <v>0.014</v>
      </c>
      <c r="T140" s="129" t="e">
        <f>IF(ROUND(R140+Q140+#REF!+N140,2)&gt;(N140),ROUND(R140+Q140+#REF!+N140,2),ROUND(N140+0.01,2))</f>
        <v>#REF!</v>
      </c>
      <c r="U140" s="180">
        <f t="shared" si="63"/>
        <v>0.59</v>
      </c>
      <c r="V140" s="197">
        <v>0.93</v>
      </c>
    </row>
    <row r="141" spans="1:22" ht="14.25" thickBot="1" thickTop="1">
      <c r="A141" s="284"/>
      <c r="B141" s="290"/>
      <c r="C141" s="6" t="s">
        <v>190</v>
      </c>
      <c r="D141" s="12">
        <f>'CNTNR COST'!I139</f>
        <v>0.0998</v>
      </c>
      <c r="E141" s="11">
        <f>E139/32*12</f>
        <v>0.2597625</v>
      </c>
      <c r="F141" s="11">
        <f>+$F$13</f>
        <v>0</v>
      </c>
      <c r="G141" s="15">
        <f>ROUND($G$11/32*12,4)</f>
        <v>0.0022</v>
      </c>
      <c r="H141" s="15">
        <f>ROUND($H$11/32*12,4)</f>
        <v>0</v>
      </c>
      <c r="I141" s="11">
        <f>ROUND(SUM(D141:H141),4)</f>
        <v>0.3618</v>
      </c>
      <c r="J141" s="11">
        <f t="shared" si="39"/>
        <v>0.012734161490683238</v>
      </c>
      <c r="K141" s="14">
        <f>ROUND(I141+J141,4)</f>
        <v>0.3745</v>
      </c>
      <c r="L141" s="11">
        <f>ROUND(L$11/32*12,4)</f>
        <v>-0.0468</v>
      </c>
      <c r="M141" s="11">
        <f>ROUND(M$11/32*12,4)</f>
        <v>0.0886</v>
      </c>
      <c r="N141" s="174">
        <f t="shared" si="62"/>
        <v>0.4163</v>
      </c>
      <c r="O141" s="188"/>
      <c r="P141" s="14">
        <f>ROUND(-INPUT!$B$74*DETAIL!N141,4)</f>
        <v>-0.0541</v>
      </c>
      <c r="Q141" s="14">
        <f>ROUND(Q$11/32*12,4)</f>
        <v>0</v>
      </c>
      <c r="R141" s="14"/>
      <c r="S141" s="14">
        <f>ROUND((Q141+P141+N141)/(1-INPUT!$B$79)-(Q141+P141+N141),4)</f>
        <v>0.0101</v>
      </c>
      <c r="T141" s="128"/>
      <c r="U141" s="180">
        <f t="shared" si="63"/>
        <v>0.43</v>
      </c>
      <c r="V141" s="197"/>
    </row>
    <row r="142" spans="1:22" ht="14.25" thickBot="1" thickTop="1">
      <c r="A142" s="284"/>
      <c r="B142" s="290"/>
      <c r="C142" s="6" t="s">
        <v>56</v>
      </c>
      <c r="D142" s="12">
        <f>'CNTNR COST'!I140</f>
        <v>0.0832</v>
      </c>
      <c r="E142" s="11">
        <f>E139/32*10</f>
        <v>0.21646875</v>
      </c>
      <c r="F142" s="11">
        <f>+$F$14</f>
        <v>0</v>
      </c>
      <c r="G142" s="15">
        <f>ROUND($G$11/32*10,4)</f>
        <v>0.0018</v>
      </c>
      <c r="H142" s="15">
        <f>ROUND($H$11/32*10,4)</f>
        <v>0</v>
      </c>
      <c r="I142" s="11">
        <f t="shared" si="60"/>
        <v>0.3015</v>
      </c>
      <c r="J142" s="11">
        <f t="shared" si="39"/>
        <v>0.01061180124223604</v>
      </c>
      <c r="K142" s="14">
        <f t="shared" si="61"/>
        <v>0.3121</v>
      </c>
      <c r="L142" s="11">
        <f>ROUND(L$11/32*10,4)</f>
        <v>-0.039</v>
      </c>
      <c r="M142" s="11">
        <f>ROUND(M$11/32*10,4)</f>
        <v>0.0738</v>
      </c>
      <c r="N142" s="174">
        <f t="shared" si="62"/>
        <v>0.3469</v>
      </c>
      <c r="O142" s="188">
        <v>0.5924</v>
      </c>
      <c r="P142" s="14">
        <f>ROUND(-INPUT!$B$74*DETAIL!N142,4)</f>
        <v>-0.0451</v>
      </c>
      <c r="Q142" s="14">
        <f>Q$14</f>
        <v>0</v>
      </c>
      <c r="R142" s="14" t="e">
        <f>ROUND((Q142+#REF!+N142)/(1-INPUT!$B$79)-(Q142+#REF!+N142),4)</f>
        <v>#REF!</v>
      </c>
      <c r="S142" s="14">
        <f>ROUND((Q142+P142+N142)/(1-INPUT!$B$79)-(Q142+P142+N142),4)</f>
        <v>0.0084</v>
      </c>
      <c r="T142" s="128" t="e">
        <f>IF(ROUND(R142+Q142+#REF!+N142,2)&gt;(N142),ROUND(R142+Q142+#REF!+N142,2),ROUND(N142+0.01,2))</f>
        <v>#REF!</v>
      </c>
      <c r="U142" s="180">
        <f t="shared" si="63"/>
        <v>0.36</v>
      </c>
      <c r="V142" s="197">
        <v>0.6</v>
      </c>
    </row>
    <row r="143" spans="1:22" ht="14.25" thickBot="1" thickTop="1">
      <c r="A143" s="284"/>
      <c r="B143" s="290"/>
      <c r="C143" s="6" t="s">
        <v>57</v>
      </c>
      <c r="D143" s="12">
        <f>'CNTNR COST'!I141</f>
        <v>0.0666</v>
      </c>
      <c r="E143" s="11">
        <f>E139/4</f>
        <v>0.173175</v>
      </c>
      <c r="F143" s="11">
        <f>+$F$15</f>
        <v>0.0146</v>
      </c>
      <c r="G143" s="15">
        <f>ROUND($G$11/4,4)</f>
        <v>0.0015</v>
      </c>
      <c r="H143" s="15">
        <f>ROUND($H$11/4,4)</f>
        <v>0</v>
      </c>
      <c r="I143" s="11">
        <f t="shared" si="60"/>
        <v>0.2559</v>
      </c>
      <c r="J143" s="11">
        <f t="shared" si="39"/>
        <v>0.009006832298136647</v>
      </c>
      <c r="K143" s="14">
        <f t="shared" si="61"/>
        <v>0.2649</v>
      </c>
      <c r="L143" s="11">
        <f>ROUND(L$11/4,4)</f>
        <v>-0.0312</v>
      </c>
      <c r="M143" s="11">
        <f>ROUND(M$11/4,4)</f>
        <v>0.0591</v>
      </c>
      <c r="N143" s="174">
        <f t="shared" si="62"/>
        <v>0.2928</v>
      </c>
      <c r="O143" s="188">
        <v>0.4633</v>
      </c>
      <c r="P143" s="14">
        <f>ROUND(-INPUT!$B$74*DETAIL!N143,4)</f>
        <v>-0.0381</v>
      </c>
      <c r="Q143" s="14">
        <f>Q$15</f>
        <v>0</v>
      </c>
      <c r="R143" s="14" t="e">
        <f>ROUND((Q143+#REF!+N143)/(1-INPUT!$B$79)-(Q143+#REF!+N143),4)</f>
        <v>#REF!</v>
      </c>
      <c r="S143" s="14">
        <f>ROUND((Q143+P143+N143)/(1-INPUT!$B$79)-(Q143+P143+N143),4)</f>
        <v>0.0071</v>
      </c>
      <c r="T143" s="128" t="e">
        <f>IF(ROUND(R143+Q143+#REF!+N143,2)&gt;(N143),ROUND(R143+Q143+#REF!+N143,2),ROUND(N143+0.01,2))</f>
        <v>#REF!</v>
      </c>
      <c r="U143" s="180">
        <f t="shared" si="63"/>
        <v>0.3</v>
      </c>
      <c r="V143" s="197">
        <v>0.47</v>
      </c>
    </row>
    <row r="144" spans="1:22" ht="14.25" thickBot="1" thickTop="1">
      <c r="A144" s="284"/>
      <c r="B144" s="290"/>
      <c r="C144" s="6" t="s">
        <v>58</v>
      </c>
      <c r="D144" s="12">
        <f>'CNTNR COST'!I142</f>
        <v>0.0333</v>
      </c>
      <c r="E144" s="11">
        <f>E139/8</f>
        <v>0.0865875</v>
      </c>
      <c r="F144" s="11">
        <f>+$F$16</f>
        <v>0.0181</v>
      </c>
      <c r="G144" s="15">
        <f>ROUND($G$11/8,4)</f>
        <v>0.0007</v>
      </c>
      <c r="H144" s="15">
        <f>ROUND($H$11/8,4)</f>
        <v>0</v>
      </c>
      <c r="I144" s="11">
        <f t="shared" si="60"/>
        <v>0.1387</v>
      </c>
      <c r="J144" s="11">
        <f t="shared" si="39"/>
        <v>0.004881780538302294</v>
      </c>
      <c r="K144" s="14">
        <f t="shared" si="61"/>
        <v>0.1436</v>
      </c>
      <c r="L144" s="11">
        <f>ROUND(L$11/8,4)</f>
        <v>-0.0156</v>
      </c>
      <c r="M144" s="11">
        <f>ROUND(M$11/8,4)</f>
        <v>0.0295</v>
      </c>
      <c r="N144" s="174">
        <f t="shared" si="62"/>
        <v>0.1575</v>
      </c>
      <c r="O144" s="188">
        <v>0.2521</v>
      </c>
      <c r="P144" s="14">
        <f>ROUND(-INPUT!$B$74*DETAIL!N144,4)</f>
        <v>-0.0205</v>
      </c>
      <c r="Q144" s="14">
        <f>Q$16</f>
        <v>0</v>
      </c>
      <c r="R144" s="14" t="e">
        <f>ROUND((Q144+#REF!+N144)/(1-INPUT!$B$79)-(Q144+#REF!+N144),4)</f>
        <v>#REF!</v>
      </c>
      <c r="S144" s="14">
        <f>ROUND((Q144+P144+N144)/(1-INPUT!$B$79)-(Q144+P144+N144),4)</f>
        <v>0.0038</v>
      </c>
      <c r="T144" s="128" t="e">
        <f>IF(ROUND(R144+Q144+#REF!+N144,2)&gt;(N144),ROUND(R144+Q144+#REF!+N144,2),ROUND(N144+0.01,2))</f>
        <v>#REF!</v>
      </c>
      <c r="U144" s="180">
        <f t="shared" si="63"/>
        <v>0.17</v>
      </c>
      <c r="V144" s="197">
        <v>0.26</v>
      </c>
    </row>
    <row r="145" spans="1:22" ht="14.25" thickBot="1" thickTop="1">
      <c r="A145" s="285"/>
      <c r="B145" s="291"/>
      <c r="C145" s="6" t="s">
        <v>78</v>
      </c>
      <c r="D145" s="23">
        <f>'CNTNR COST'!I143</f>
        <v>0.2662</v>
      </c>
      <c r="E145" s="24">
        <f>E139</f>
        <v>0.6927</v>
      </c>
      <c r="F145" s="24">
        <f>+$F$17</f>
        <v>0.0217</v>
      </c>
      <c r="G145" s="27">
        <f>ROUND($G$11,4)</f>
        <v>0.0058</v>
      </c>
      <c r="H145" s="27">
        <f>ROUND($H$11,4)</f>
        <v>0</v>
      </c>
      <c r="I145" s="24">
        <f t="shared" si="60"/>
        <v>0.9864</v>
      </c>
      <c r="J145" s="24">
        <f t="shared" si="39"/>
        <v>0.03471801242236039</v>
      </c>
      <c r="K145" s="29">
        <f t="shared" si="61"/>
        <v>1.0211</v>
      </c>
      <c r="L145" s="24">
        <f>L$11</f>
        <v>-0.1248</v>
      </c>
      <c r="M145" s="24">
        <f>M$11</f>
        <v>0.2362</v>
      </c>
      <c r="N145" s="175">
        <f t="shared" si="62"/>
        <v>1.1325</v>
      </c>
      <c r="O145" s="189">
        <v>1.8145</v>
      </c>
      <c r="P145" s="29">
        <f>ROUND(-INPUT!$B$74*DETAIL!N145,4)</f>
        <v>-0.1472</v>
      </c>
      <c r="Q145" s="29">
        <f>Q$17</f>
        <v>0</v>
      </c>
      <c r="R145" s="29" t="e">
        <f>ROUND((Q145+#REF!+N145)/(1-INPUT!$B$79)-(Q145+#REF!+N145),4)</f>
        <v>#REF!</v>
      </c>
      <c r="S145" s="29">
        <f>ROUND((Q145+P145+N145)/(1-INPUT!$B$79)-(Q145+P145+N145),4)</f>
        <v>0.0273</v>
      </c>
      <c r="T145" s="130" t="e">
        <f>IF(ROUND(R145+Q145+#REF!+N145,2)&gt;(N145),ROUND(R145+Q145+#REF!+N145,2),ROUND(N145+0.01,2))</f>
        <v>#REF!</v>
      </c>
      <c r="U145" s="181">
        <f t="shared" si="63"/>
        <v>1.14</v>
      </c>
      <c r="V145" s="198">
        <v>1.82</v>
      </c>
    </row>
    <row r="146" spans="15:22" ht="13.5" thickTop="1">
      <c r="O146" s="184"/>
      <c r="V146" s="185"/>
    </row>
    <row r="147" spans="15:22" ht="12.75">
      <c r="O147" s="182"/>
      <c r="V147" s="183"/>
    </row>
    <row r="148" spans="15:22" ht="12.75">
      <c r="O148" s="182"/>
      <c r="V148" s="186"/>
    </row>
    <row r="149" spans="15:22" ht="12.75">
      <c r="O149" s="182"/>
      <c r="V149" s="186"/>
    </row>
    <row r="150" spans="15:22" ht="12.75">
      <c r="O150" s="182"/>
      <c r="V150" s="186"/>
    </row>
    <row r="151" spans="15:22" ht="12.75">
      <c r="O151" s="182"/>
      <c r="V151" s="186"/>
    </row>
    <row r="152" spans="15:22" ht="12.75">
      <c r="O152" s="182"/>
      <c r="V152" s="186"/>
    </row>
    <row r="153" spans="15:22" ht="12.75">
      <c r="O153" s="182"/>
      <c r="V153" s="186"/>
    </row>
    <row r="154" spans="15:22" ht="12.75">
      <c r="O154" s="182"/>
      <c r="V154" s="186"/>
    </row>
    <row r="155" spans="15:22" ht="12.75">
      <c r="O155" s="183"/>
      <c r="V155" s="183"/>
    </row>
    <row r="156" ht="12.75">
      <c r="V156" s="183"/>
    </row>
  </sheetData>
  <sheetProtection/>
  <mergeCells count="24">
    <mergeCell ref="A29:A37"/>
    <mergeCell ref="B29:B37"/>
    <mergeCell ref="A39:A47"/>
    <mergeCell ref="B39:B47"/>
    <mergeCell ref="A111:A118"/>
    <mergeCell ref="B111:B118"/>
    <mergeCell ref="A69:A77"/>
    <mergeCell ref="B69:B77"/>
    <mergeCell ref="A9:A17"/>
    <mergeCell ref="B9:B17"/>
    <mergeCell ref="A19:A27"/>
    <mergeCell ref="B19:B27"/>
    <mergeCell ref="A49:A57"/>
    <mergeCell ref="B49:B57"/>
    <mergeCell ref="A59:A67"/>
    <mergeCell ref="B59:B67"/>
    <mergeCell ref="A138:B145"/>
    <mergeCell ref="A120:A127"/>
    <mergeCell ref="B120:B127"/>
    <mergeCell ref="A129:A136"/>
    <mergeCell ref="B129:B136"/>
    <mergeCell ref="A79:B87"/>
    <mergeCell ref="A89:B97"/>
    <mergeCell ref="A99:B109"/>
  </mergeCells>
  <printOptions/>
  <pageMargins left="0.25" right="0.25" top="0.25" bottom="0.25" header="0.5" footer="0.5"/>
  <pageSetup fitToHeight="3" fitToWidth="1" horizontalDpi="300" verticalDpi="300" orientation="landscape" paperSize="5" scale="80" r:id="rId1"/>
  <rowBreaks count="1" manualBreakCount="1">
    <brk id="67" min="2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="75" zoomScaleNormal="75" zoomScalePageLayoutView="0" workbookViewId="0" topLeftCell="A1">
      <selection activeCell="F23" sqref="F23"/>
    </sheetView>
  </sheetViews>
  <sheetFormatPr defaultColWidth="9.140625" defaultRowHeight="12.75"/>
  <cols>
    <col min="1" max="1" width="37.421875" style="0" customWidth="1"/>
    <col min="2" max="2" width="12.7109375" style="0" customWidth="1"/>
    <col min="3" max="3" width="10.421875" style="0" customWidth="1"/>
    <col min="4" max="4" width="9.421875" style="0" bestFit="1" customWidth="1"/>
    <col min="5" max="5" width="10.140625" style="0" customWidth="1"/>
    <col min="6" max="6" width="10.7109375" style="0" customWidth="1"/>
    <col min="7" max="9" width="9.7109375" style="0" bestFit="1" customWidth="1"/>
    <col min="10" max="10" width="9.7109375" style="0" customWidth="1"/>
    <col min="11" max="12" width="9.7109375" style="0" bestFit="1" customWidth="1"/>
    <col min="13" max="13" width="9.57421875" style="0" customWidth="1"/>
  </cols>
  <sheetData>
    <row r="1" spans="1:13" ht="34.5">
      <c r="A1" s="40" t="s">
        <v>142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.75" thickBot="1">
      <c r="A2" s="41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.75" thickBot="1">
      <c r="A3" s="41" t="s">
        <v>154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36" t="s">
        <v>152</v>
      </c>
      <c r="M3" s="136" t="s">
        <v>153</v>
      </c>
    </row>
    <row r="4" spans="1:13" ht="18.75" thickBot="1">
      <c r="A4" s="41" t="s">
        <v>155</v>
      </c>
      <c r="B4" s="17"/>
      <c r="C4" s="17"/>
      <c r="D4" s="17"/>
      <c r="E4" s="17"/>
      <c r="F4" s="17"/>
      <c r="G4" s="17"/>
      <c r="H4" s="17"/>
      <c r="I4" s="134" t="s">
        <v>150</v>
      </c>
      <c r="J4" s="213"/>
      <c r="K4" s="135"/>
      <c r="L4" s="156">
        <f>CL_I_SKIM_RATE</f>
        <v>0</v>
      </c>
      <c r="M4" s="137">
        <f>CL_II_SKIM_RATE</f>
        <v>0</v>
      </c>
    </row>
    <row r="5" spans="1:13" ht="18.75" thickBot="1">
      <c r="A5" s="41" t="s">
        <v>156</v>
      </c>
      <c r="B5" s="17"/>
      <c r="C5" s="17"/>
      <c r="D5" s="17"/>
      <c r="E5" s="17"/>
      <c r="F5" s="17"/>
      <c r="G5" s="17"/>
      <c r="H5" s="17"/>
      <c r="I5" s="136" t="s">
        <v>151</v>
      </c>
      <c r="J5" s="214"/>
      <c r="K5" s="135"/>
      <c r="L5" s="138">
        <f>CL_I_BF_RATE</f>
        <v>0</v>
      </c>
      <c r="M5" s="139">
        <f>CL_II_BF_RATE</f>
        <v>0</v>
      </c>
    </row>
    <row r="6" spans="1:13" ht="35.25" thickBot="1">
      <c r="A6" s="158">
        <f>INPUT!B3</f>
        <v>0</v>
      </c>
      <c r="B6" s="42"/>
      <c r="C6" s="42"/>
      <c r="D6" s="155"/>
      <c r="E6" s="43"/>
      <c r="F6" s="44"/>
      <c r="G6" s="31"/>
      <c r="H6" s="31"/>
      <c r="K6" s="43"/>
      <c r="L6" s="44"/>
      <c r="M6" s="202" t="str">
        <f>INPUT!A2</f>
        <v>OGO A-962 (CRO9)</v>
      </c>
    </row>
    <row r="7" spans="1:13" ht="15.75" thickBot="1" thickTop="1">
      <c r="A7" s="32"/>
      <c r="B7" s="32"/>
      <c r="C7" s="33" t="s">
        <v>79</v>
      </c>
      <c r="D7" s="34"/>
      <c r="E7" s="35" t="s">
        <v>80</v>
      </c>
      <c r="F7" s="36" t="s">
        <v>81</v>
      </c>
      <c r="G7" s="37"/>
      <c r="H7" s="37"/>
      <c r="I7" s="37"/>
      <c r="J7" s="37"/>
      <c r="K7" s="37"/>
      <c r="L7" s="37"/>
      <c r="M7" s="38"/>
    </row>
    <row r="8" spans="1:13" ht="16.5" thickBot="1" thickTop="1">
      <c r="A8" s="45"/>
      <c r="B8" s="45" t="s">
        <v>82</v>
      </c>
      <c r="C8" s="46" t="s">
        <v>83</v>
      </c>
      <c r="D8" s="47"/>
      <c r="E8" s="48" t="s">
        <v>84</v>
      </c>
      <c r="F8" s="49"/>
      <c r="G8" s="49" t="s">
        <v>85</v>
      </c>
      <c r="H8" s="49"/>
      <c r="I8" s="49"/>
      <c r="J8" s="49"/>
      <c r="K8" s="49"/>
      <c r="L8" s="49" t="s">
        <v>86</v>
      </c>
      <c r="M8" s="49"/>
    </row>
    <row r="9" spans="1:13" ht="16.5" thickBot="1" thickTop="1">
      <c r="A9" s="50" t="s">
        <v>87</v>
      </c>
      <c r="B9" s="50" t="s">
        <v>88</v>
      </c>
      <c r="C9" s="51" t="s">
        <v>89</v>
      </c>
      <c r="D9" s="51" t="s">
        <v>90</v>
      </c>
      <c r="E9" s="51" t="s">
        <v>91</v>
      </c>
      <c r="F9" s="51" t="s">
        <v>92</v>
      </c>
      <c r="G9" s="51" t="s">
        <v>148</v>
      </c>
      <c r="H9" s="51" t="s">
        <v>14</v>
      </c>
      <c r="I9" s="51" t="s">
        <v>15</v>
      </c>
      <c r="J9" s="51" t="s">
        <v>192</v>
      </c>
      <c r="K9" s="51" t="s">
        <v>191</v>
      </c>
      <c r="L9" s="230" t="s">
        <v>182</v>
      </c>
      <c r="M9" s="51" t="s">
        <v>94</v>
      </c>
    </row>
    <row r="10" spans="1:13" ht="15.75" thickTop="1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</row>
    <row r="11" spans="1:13" ht="15">
      <c r="A11" s="65" t="s">
        <v>95</v>
      </c>
      <c r="B11" s="66">
        <v>400</v>
      </c>
      <c r="C11" s="67">
        <v>3.1</v>
      </c>
      <c r="D11" s="67">
        <v>6</v>
      </c>
      <c r="E11" s="68">
        <f>DETAIL!N17</f>
        <v>0.4537</v>
      </c>
      <c r="F11" s="68">
        <f>DETAIL!N9</f>
        <v>1.5151</v>
      </c>
      <c r="G11" s="68">
        <f>DETAIL!N10</f>
        <v>0.7541</v>
      </c>
      <c r="H11" s="68">
        <f>DETAIL!N11</f>
        <v>0.4341</v>
      </c>
      <c r="I11" s="68">
        <f>DETAIL!N12</f>
        <v>0.2228</v>
      </c>
      <c r="J11" s="68">
        <f>DETAIL!N13</f>
        <v>0.2124</v>
      </c>
      <c r="K11" s="68">
        <f>DETAIL!N14</f>
        <v>0.1835</v>
      </c>
      <c r="L11" s="68">
        <f>DETAIL!N15</f>
        <v>0.1134</v>
      </c>
      <c r="M11" s="69">
        <f>DETAIL!N16</f>
        <v>0.0879</v>
      </c>
    </row>
    <row r="12" spans="1:17" ht="15">
      <c r="A12" s="65" t="s">
        <v>42</v>
      </c>
      <c r="B12" s="66">
        <v>800</v>
      </c>
      <c r="C12" s="67">
        <v>1.5</v>
      </c>
      <c r="D12" s="67">
        <v>3.09</v>
      </c>
      <c r="E12" s="68">
        <f>DETAIL!N27</f>
        <v>0.4539</v>
      </c>
      <c r="F12" s="68">
        <f>DETAIL!N19</f>
        <v>1.5159</v>
      </c>
      <c r="G12" s="68">
        <f>DETAIL!N20</f>
        <v>0.7546</v>
      </c>
      <c r="H12" s="68">
        <f>DETAIL!N21</f>
        <v>0.4343</v>
      </c>
      <c r="I12" s="68">
        <f>DETAIL!N22</f>
        <v>0.2229</v>
      </c>
      <c r="J12" s="68">
        <f>DETAIL!N23</f>
        <v>0.2125</v>
      </c>
      <c r="K12" s="68">
        <f>DETAIL!N24</f>
        <v>0.1835</v>
      </c>
      <c r="L12" s="68">
        <f>DETAIL!N25</f>
        <v>0.1134</v>
      </c>
      <c r="M12" s="69">
        <f>DETAIL!N26</f>
        <v>0.088</v>
      </c>
      <c r="Q12" s="206"/>
    </row>
    <row r="13" spans="1:13" ht="15">
      <c r="A13" s="55" t="s">
        <v>96</v>
      </c>
      <c r="B13" s="56">
        <v>900</v>
      </c>
      <c r="C13" s="57">
        <v>0.5</v>
      </c>
      <c r="D13" s="57">
        <v>1.49</v>
      </c>
      <c r="E13" s="58">
        <f>DETAIL!N37</f>
        <v>0.4542</v>
      </c>
      <c r="F13" s="58">
        <f>DETAIL!N29</f>
        <v>1.5168</v>
      </c>
      <c r="G13" s="58">
        <f>DETAIL!N30</f>
        <v>0.755</v>
      </c>
      <c r="H13" s="58">
        <f>DETAIL!N31</f>
        <v>0.4345</v>
      </c>
      <c r="I13" s="58">
        <f>DETAIL!N32</f>
        <v>0.223</v>
      </c>
      <c r="J13" s="58">
        <f>DETAIL!N33</f>
        <v>0.2126</v>
      </c>
      <c r="K13" s="58">
        <f>DETAIL!N34</f>
        <v>0.1836</v>
      </c>
      <c r="L13" s="58">
        <f>DETAIL!N35</f>
        <v>0.1135</v>
      </c>
      <c r="M13" s="59">
        <f>DETAIL!N36</f>
        <v>0.088</v>
      </c>
    </row>
    <row r="14" spans="1:13" ht="15">
      <c r="A14" s="60"/>
      <c r="B14" s="61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64"/>
    </row>
    <row r="15" spans="1:13" ht="15">
      <c r="A15" s="55" t="s">
        <v>44</v>
      </c>
      <c r="B15" s="56">
        <v>1200</v>
      </c>
      <c r="C15" s="57">
        <v>0</v>
      </c>
      <c r="D15" s="57">
        <v>0.49</v>
      </c>
      <c r="E15" s="58">
        <f>DETAIL!N47</f>
        <v>0.4557</v>
      </c>
      <c r="F15" s="58">
        <f>DETAIL!N39</f>
        <v>1.523</v>
      </c>
      <c r="G15" s="58">
        <f>DETAIL!N40</f>
        <v>0.7581</v>
      </c>
      <c r="H15" s="58">
        <f>DETAIL!N41</f>
        <v>0.436</v>
      </c>
      <c r="I15" s="58">
        <f>DETAIL!N42</f>
        <v>0.2238</v>
      </c>
      <c r="J15" s="58">
        <f>DETAIL!N43</f>
        <v>0.2132</v>
      </c>
      <c r="K15" s="58">
        <f>DETAIL!N44</f>
        <v>0.1841</v>
      </c>
      <c r="L15" s="58">
        <f>DETAIL!N45</f>
        <v>0.1139</v>
      </c>
      <c r="M15" s="59">
        <f>DETAIL!N46</f>
        <v>0.0882</v>
      </c>
    </row>
    <row r="16" spans="1:13" ht="15">
      <c r="A16" s="60"/>
      <c r="B16" s="61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15">
      <c r="A17" s="65" t="s">
        <v>24</v>
      </c>
      <c r="B17" s="66">
        <v>500</v>
      </c>
      <c r="C17" s="67">
        <v>3.1</v>
      </c>
      <c r="D17" s="67">
        <v>6</v>
      </c>
      <c r="E17" s="68">
        <f>DETAIL!N57</f>
        <v>0.4537</v>
      </c>
      <c r="F17" s="68">
        <f>DETAIL!N49</f>
        <v>1.5152</v>
      </c>
      <c r="G17" s="68">
        <f>DETAIL!N50</f>
        <v>0.7542</v>
      </c>
      <c r="H17" s="68">
        <f>DETAIL!N51</f>
        <v>0.4341</v>
      </c>
      <c r="I17" s="68">
        <f>DETAIL!N52</f>
        <v>0.2228</v>
      </c>
      <c r="J17" s="68">
        <f>DETAIL!N53</f>
        <v>0.2124</v>
      </c>
      <c r="K17" s="68">
        <f>DETAIL!N54</f>
        <v>0.1835</v>
      </c>
      <c r="L17" s="68">
        <f>DETAIL!N55</f>
        <v>0.1134</v>
      </c>
      <c r="M17" s="69">
        <f>DETAIL!N56</f>
        <v>0.0879</v>
      </c>
    </row>
    <row r="18" spans="1:13" ht="15">
      <c r="A18" s="65" t="s">
        <v>45</v>
      </c>
      <c r="B18" s="66">
        <v>600</v>
      </c>
      <c r="C18" s="67">
        <v>0.5</v>
      </c>
      <c r="D18" s="67">
        <v>3.09</v>
      </c>
      <c r="E18" s="68">
        <f>DETAIL!N67</f>
        <v>0.4537</v>
      </c>
      <c r="F18" s="68">
        <f>DETAIL!N59</f>
        <v>1.5152</v>
      </c>
      <c r="G18" s="68">
        <f>DETAIL!N60</f>
        <v>0.7542</v>
      </c>
      <c r="H18" s="68">
        <f>DETAIL!N61</f>
        <v>0.4341</v>
      </c>
      <c r="I18" s="68">
        <f>DETAIL!N62</f>
        <v>0.2228</v>
      </c>
      <c r="J18" s="68">
        <f>DETAIL!N63</f>
        <v>0.2124</v>
      </c>
      <c r="K18" s="68">
        <f>DETAIL!N64</f>
        <v>0.1835</v>
      </c>
      <c r="L18" s="68">
        <f>DETAIL!N65</f>
        <v>0.1134</v>
      </c>
      <c r="M18" s="69">
        <f>DETAIL!N66</f>
        <v>0.0879</v>
      </c>
    </row>
    <row r="19" spans="1:13" ht="15">
      <c r="A19" s="65" t="s">
        <v>199</v>
      </c>
      <c r="B19" s="66">
        <v>700</v>
      </c>
      <c r="C19" s="67">
        <v>0</v>
      </c>
      <c r="D19" s="67">
        <v>0.49</v>
      </c>
      <c r="E19" s="68">
        <f>DETAIL!N77</f>
        <v>0.4537</v>
      </c>
      <c r="F19" s="68">
        <f>DETAIL!N69</f>
        <v>1.5152</v>
      </c>
      <c r="G19" s="68">
        <f>DETAIL!N70</f>
        <v>0.7542</v>
      </c>
      <c r="H19" s="68">
        <f>DETAIL!N71</f>
        <v>0.4341</v>
      </c>
      <c r="I19" s="68">
        <f>DETAIL!N72</f>
        <v>0.2228</v>
      </c>
      <c r="J19" s="68">
        <f>DETAIL!N73</f>
        <v>0.2124</v>
      </c>
      <c r="K19" s="68">
        <f>DETAIL!N74</f>
        <v>0.1835</v>
      </c>
      <c r="L19" s="68">
        <f>DETAIL!N75</f>
        <v>0.1134</v>
      </c>
      <c r="M19" s="69">
        <f>DETAIL!N76</f>
        <v>0.0879</v>
      </c>
    </row>
    <row r="20" spans="1:13" ht="15">
      <c r="A20" s="60"/>
      <c r="B20" s="61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>
      <c r="A21" s="65" t="s">
        <v>26</v>
      </c>
      <c r="B21" s="66">
        <v>1000</v>
      </c>
      <c r="C21" s="67">
        <v>0</v>
      </c>
      <c r="D21" s="67">
        <v>6</v>
      </c>
      <c r="E21" s="68">
        <f>DETAIL!N87</f>
        <v>0.4693</v>
      </c>
      <c r="F21" s="68">
        <f>DETAIL!N79</f>
        <v>1.5774</v>
      </c>
      <c r="G21" s="68">
        <f>DETAIL!N80</f>
        <v>0.7852</v>
      </c>
      <c r="H21" s="68">
        <f>DETAIL!N81</f>
        <v>0.4496</v>
      </c>
      <c r="I21" s="68">
        <f>DETAIL!N82</f>
        <v>0.2305</v>
      </c>
      <c r="J21" s="68">
        <f>DETAIL!N83</f>
        <v>0.2183</v>
      </c>
      <c r="K21" s="68">
        <f>DETAIL!N84</f>
        <v>0.1883</v>
      </c>
      <c r="L21" s="68">
        <f>DETAIL!N85</f>
        <v>0.1173</v>
      </c>
      <c r="M21" s="69">
        <f>DETAIL!N86</f>
        <v>0.0899</v>
      </c>
    </row>
    <row r="22" spans="1:13" ht="15">
      <c r="A22" s="65" t="s">
        <v>158</v>
      </c>
      <c r="B22" s="66">
        <v>510</v>
      </c>
      <c r="C22" s="67">
        <v>0</v>
      </c>
      <c r="D22" s="67">
        <v>17.99</v>
      </c>
      <c r="E22" s="68">
        <f>DETAIL!N97</f>
        <v>0.751</v>
      </c>
      <c r="F22" s="68">
        <f>DETAIL!$N89</f>
        <v>2.7044</v>
      </c>
      <c r="G22" s="68">
        <f>DETAIL!$N90</f>
        <v>1.3488</v>
      </c>
      <c r="H22" s="68">
        <f>DETAIL!$N91</f>
        <v>0.7314</v>
      </c>
      <c r="I22" s="68">
        <f>DETAIL!$N92</f>
        <v>0.3714</v>
      </c>
      <c r="J22" s="68">
        <f>DETAIL!$N93</f>
        <v>0.324</v>
      </c>
      <c r="K22" s="68">
        <f>DETAIL!$N94</f>
        <v>0.2763</v>
      </c>
      <c r="L22" s="68">
        <f>DETAIL!$N95</f>
        <v>0.1877</v>
      </c>
      <c r="M22" s="59">
        <f>DETAIL!$N96</f>
        <v>0.1252</v>
      </c>
    </row>
    <row r="23" spans="1:13" ht="15">
      <c r="A23" s="60"/>
      <c r="B23" s="61"/>
      <c r="C23" s="62"/>
      <c r="D23" s="62"/>
      <c r="E23" s="63"/>
      <c r="F23" s="63"/>
      <c r="G23" s="63"/>
      <c r="H23" s="63"/>
      <c r="I23" s="63"/>
      <c r="J23" s="63"/>
      <c r="K23" s="63"/>
      <c r="L23" s="63"/>
      <c r="M23" s="64"/>
    </row>
    <row r="24" spans="1:13" ht="15">
      <c r="A24" s="55" t="s">
        <v>97</v>
      </c>
      <c r="B24" s="56">
        <v>1500</v>
      </c>
      <c r="C24" s="57">
        <v>6.01</v>
      </c>
      <c r="D24" s="57">
        <v>17.99</v>
      </c>
      <c r="E24" s="58">
        <f>DETAIL!N106</f>
        <v>0.6539</v>
      </c>
      <c r="F24" s="58"/>
      <c r="G24" s="58">
        <f>DETAIL!N99</f>
        <v>1.1546</v>
      </c>
      <c r="H24" s="58">
        <f>DETAIL!N100</f>
        <v>0.6343</v>
      </c>
      <c r="I24" s="58">
        <f>DETAIL!N101</f>
        <v>0.3229</v>
      </c>
      <c r="J24" s="58">
        <f>DETAIL!N102</f>
        <v>0.2876</v>
      </c>
      <c r="K24" s="58">
        <f>DETAIL!N103</f>
        <v>0.246</v>
      </c>
      <c r="L24" s="58">
        <f>DETAIL!N104</f>
        <v>0.1635</v>
      </c>
      <c r="M24" s="59">
        <f>DETAIL!N105</f>
        <v>0.113</v>
      </c>
    </row>
    <row r="25" spans="1:13" ht="15">
      <c r="A25" s="60"/>
      <c r="B25" s="61"/>
      <c r="C25" s="62"/>
      <c r="D25" s="62"/>
      <c r="E25" s="63"/>
      <c r="F25" s="63"/>
      <c r="G25" s="63"/>
      <c r="H25" s="63"/>
      <c r="I25" s="63"/>
      <c r="J25" s="63"/>
      <c r="K25" s="63"/>
      <c r="L25" s="63"/>
      <c r="M25" s="64"/>
    </row>
    <row r="26" spans="1:13" ht="15">
      <c r="A26" s="65" t="s">
        <v>64</v>
      </c>
      <c r="B26" s="66">
        <v>1700</v>
      </c>
      <c r="C26" s="67">
        <v>18</v>
      </c>
      <c r="D26" s="67">
        <v>29.99</v>
      </c>
      <c r="E26" s="68">
        <f>DETAIL!N118</f>
        <v>0.6566</v>
      </c>
      <c r="F26" s="68"/>
      <c r="G26" s="68">
        <f>DETAIL!N111</f>
        <v>1.16</v>
      </c>
      <c r="H26" s="68">
        <f>DETAIL!N112</f>
        <v>0.637</v>
      </c>
      <c r="I26" s="68">
        <f>DETAIL!N113</f>
        <v>0.3242</v>
      </c>
      <c r="J26" s="68">
        <f>DETAIL!N114</f>
        <v>0.2886</v>
      </c>
      <c r="K26" s="68">
        <f>DETAIL!N115</f>
        <v>0.2468</v>
      </c>
      <c r="L26" s="68">
        <f>DETAIL!N116</f>
        <v>0.1641</v>
      </c>
      <c r="M26" s="69">
        <f>DETAIL!N117</f>
        <v>0.1134</v>
      </c>
    </row>
    <row r="27" spans="1:13" ht="15">
      <c r="A27" s="65" t="s">
        <v>48</v>
      </c>
      <c r="B27" s="66">
        <v>1800</v>
      </c>
      <c r="C27" s="67">
        <v>30</v>
      </c>
      <c r="D27" s="67">
        <v>35.99</v>
      </c>
      <c r="E27" s="68">
        <f>DETAIL!N127</f>
        <v>0.6566</v>
      </c>
      <c r="F27" s="68"/>
      <c r="G27" s="68">
        <f>DETAIL!N120</f>
        <v>1.16</v>
      </c>
      <c r="H27" s="68">
        <f>DETAIL!N121</f>
        <v>0.637</v>
      </c>
      <c r="I27" s="68">
        <f>DETAIL!N122</f>
        <v>0.3242</v>
      </c>
      <c r="J27" s="68">
        <f>DETAIL!N123</f>
        <v>0.2886</v>
      </c>
      <c r="K27" s="68">
        <f>DETAIL!N124</f>
        <v>0.2468</v>
      </c>
      <c r="L27" s="68">
        <f>DETAIL!N125</f>
        <v>0.1641</v>
      </c>
      <c r="M27" s="69">
        <f>DETAIL!N126</f>
        <v>0.1134</v>
      </c>
    </row>
    <row r="28" spans="1:13" ht="15">
      <c r="A28" s="55" t="s">
        <v>49</v>
      </c>
      <c r="B28" s="56">
        <v>1900</v>
      </c>
      <c r="C28" s="57">
        <v>36</v>
      </c>
      <c r="D28" s="57">
        <v>50</v>
      </c>
      <c r="E28" s="58">
        <f>DETAIL!N136</f>
        <v>0.6566</v>
      </c>
      <c r="F28" s="58"/>
      <c r="G28" s="58">
        <f>DETAIL!N129</f>
        <v>1.16</v>
      </c>
      <c r="H28" s="58">
        <f>DETAIL!N130</f>
        <v>0.637</v>
      </c>
      <c r="I28" s="58">
        <f>DETAIL!N131</f>
        <v>0.3242</v>
      </c>
      <c r="J28" s="58">
        <f>DETAIL!N132</f>
        <v>0.2886</v>
      </c>
      <c r="K28" s="58">
        <f>DETAIL!N133</f>
        <v>0.2468</v>
      </c>
      <c r="L28" s="58">
        <f>DETAIL!N134</f>
        <v>0.1641</v>
      </c>
      <c r="M28" s="59">
        <f>DETAIL!N135</f>
        <v>0.1134</v>
      </c>
    </row>
    <row r="29" spans="1:13" ht="15">
      <c r="A29" s="60"/>
      <c r="B29" s="61"/>
      <c r="C29" s="62"/>
      <c r="D29" s="62"/>
      <c r="E29" s="63" t="str">
        <f>FIXED(E30/2.1275,4)&amp;" /LB."</f>
        <v>0.5323 /LB.</v>
      </c>
      <c r="F29" s="63"/>
      <c r="G29" s="63"/>
      <c r="H29" s="63"/>
      <c r="I29" s="63"/>
      <c r="J29" s="63"/>
      <c r="K29" s="63"/>
      <c r="L29" s="63"/>
      <c r="M29" s="64"/>
    </row>
    <row r="30" spans="1:13" ht="15.75" thickBot="1">
      <c r="A30" s="70" t="s">
        <v>147</v>
      </c>
      <c r="B30" s="71">
        <v>1600</v>
      </c>
      <c r="C30" s="72">
        <v>0</v>
      </c>
      <c r="D30" s="72">
        <v>29.99</v>
      </c>
      <c r="E30" s="73">
        <f>DETAIL!N145</f>
        <v>1.1325</v>
      </c>
      <c r="F30" s="73"/>
      <c r="G30" s="73">
        <f>DETAIL!N138</f>
        <v>2.1892</v>
      </c>
      <c r="H30" s="73">
        <f>DETAIL!N139</f>
        <v>1.1516</v>
      </c>
      <c r="I30" s="73">
        <f>DETAIL!N140</f>
        <v>0.5816</v>
      </c>
      <c r="J30" s="73">
        <f>DETAIL!N141</f>
        <v>0.4163</v>
      </c>
      <c r="K30" s="73">
        <f>DETAIL!N142</f>
        <v>0.3469</v>
      </c>
      <c r="L30" s="73">
        <f>DETAIL!N143</f>
        <v>0.2928</v>
      </c>
      <c r="M30" s="74">
        <f>DETAIL!N144</f>
        <v>0.1575</v>
      </c>
    </row>
    <row r="31" spans="1:13" ht="15.75" thickTop="1">
      <c r="A31" s="75" t="s">
        <v>98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5">
      <c r="A32" s="75" t="s">
        <v>99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5">
      <c r="A33" s="75" t="s">
        <v>100</v>
      </c>
      <c r="B33" s="75" t="s">
        <v>101</v>
      </c>
      <c r="C33" s="207">
        <f>DETAIL!N107</f>
        <v>0.0154</v>
      </c>
      <c r="D33" s="75"/>
      <c r="E33" s="75" t="s">
        <v>102</v>
      </c>
      <c r="F33" s="207">
        <f>DETAIL!N108</f>
        <v>0.0204</v>
      </c>
      <c r="G33" s="75"/>
      <c r="H33" s="75" t="s">
        <v>103</v>
      </c>
      <c r="I33" s="207">
        <f>DETAIL!N109</f>
        <v>0.0306</v>
      </c>
      <c r="J33" s="207"/>
      <c r="K33" s="75"/>
      <c r="L33" s="75"/>
      <c r="M33" s="75"/>
    </row>
    <row r="34" spans="1:13" ht="15">
      <c r="A34" s="75" t="s">
        <v>104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5">
      <c r="A35" s="300" t="str">
        <f>CONCATENATE("   /4/   ADD $",INPUT!B20," WHEN SOLD IN RIGID PLASTIC CONTAINERS.")</f>
        <v>   /4/   ADD $ WHEN SOLD IN RIGID PLASTIC CONTAINERS.</v>
      </c>
      <c r="B35" s="300"/>
      <c r="C35" s="300"/>
      <c r="D35" s="300"/>
      <c r="E35" s="223"/>
      <c r="F35" s="133"/>
      <c r="G35" s="75"/>
      <c r="H35" s="75"/>
      <c r="I35" s="75"/>
      <c r="J35" s="75"/>
      <c r="K35" s="75"/>
      <c r="L35" s="75"/>
      <c r="M35" s="75"/>
    </row>
    <row r="36" spans="1:6" ht="15">
      <c r="A36" s="209" t="s">
        <v>65</v>
      </c>
      <c r="B36" s="210" t="s">
        <v>186</v>
      </c>
      <c r="C36" s="211">
        <f>ROUND(E30/2.1275*5,4)</f>
        <v>2.6616</v>
      </c>
      <c r="E36" s="210" t="s">
        <v>187</v>
      </c>
      <c r="F36" s="212">
        <f>ROUND(E30/2.1275*10,4)</f>
        <v>5.3231</v>
      </c>
    </row>
    <row r="37" spans="1:6" ht="15">
      <c r="A37" s="209"/>
      <c r="B37" s="210"/>
      <c r="C37" s="211"/>
      <c r="E37" s="210"/>
      <c r="F37" s="212"/>
    </row>
    <row r="38" spans="1:13" ht="34.5">
      <c r="A38" s="40" t="s">
        <v>142</v>
      </c>
      <c r="B38" s="76"/>
      <c r="C38" s="76"/>
      <c r="D38" s="76"/>
      <c r="E38" s="76"/>
      <c r="F38" s="76"/>
      <c r="G38" s="17"/>
      <c r="H38" s="17"/>
      <c r="I38" s="17"/>
      <c r="J38" s="17"/>
      <c r="K38" s="17"/>
      <c r="L38" s="17"/>
      <c r="M38" s="17"/>
    </row>
    <row r="39" spans="1:13" ht="18">
      <c r="A39" s="41" t="s">
        <v>33</v>
      </c>
      <c r="B39" s="76"/>
      <c r="C39" s="76"/>
      <c r="D39" s="76"/>
      <c r="E39" s="76"/>
      <c r="F39" s="76"/>
      <c r="G39" s="17"/>
      <c r="H39" s="17"/>
      <c r="I39" s="17"/>
      <c r="J39" s="17"/>
      <c r="K39" s="17"/>
      <c r="L39" s="17"/>
      <c r="M39" s="17"/>
    </row>
    <row r="40" spans="1:13" ht="18">
      <c r="A40" s="41" t="s">
        <v>181</v>
      </c>
      <c r="B40" s="76"/>
      <c r="C40" s="76"/>
      <c r="D40" s="76"/>
      <c r="E40" s="76"/>
      <c r="F40" s="76"/>
      <c r="G40" s="17"/>
      <c r="H40" s="17"/>
      <c r="I40" s="17"/>
      <c r="J40" s="17"/>
      <c r="K40" s="17"/>
      <c r="L40" s="17"/>
      <c r="M40" s="17"/>
    </row>
    <row r="41" spans="1:13" ht="18">
      <c r="A41" s="41" t="s">
        <v>105</v>
      </c>
      <c r="B41" s="76"/>
      <c r="C41" s="76"/>
      <c r="D41" s="76"/>
      <c r="E41" s="76"/>
      <c r="F41" s="76"/>
      <c r="G41" s="17"/>
      <c r="H41" s="17"/>
      <c r="I41" s="17"/>
      <c r="J41" s="17"/>
      <c r="K41" s="17"/>
      <c r="L41" s="17"/>
      <c r="M41" s="17"/>
    </row>
    <row r="42" spans="1:13" ht="18">
      <c r="A42" s="41" t="s">
        <v>106</v>
      </c>
      <c r="B42" s="76"/>
      <c r="C42" s="76"/>
      <c r="D42" s="76"/>
      <c r="E42" s="76"/>
      <c r="F42" s="76"/>
      <c r="G42" s="17"/>
      <c r="H42" s="17"/>
      <c r="I42" s="17"/>
      <c r="J42" s="17"/>
      <c r="K42" s="17"/>
      <c r="L42" s="17"/>
      <c r="M42" s="17"/>
    </row>
    <row r="43" spans="1:13" ht="35.25" thickBot="1">
      <c r="A43" s="158">
        <f>INPUT!B3</f>
        <v>0</v>
      </c>
      <c r="B43" s="42"/>
      <c r="C43" s="42" t="s">
        <v>107</v>
      </c>
      <c r="D43" s="155"/>
      <c r="E43" s="43"/>
      <c r="F43" s="44"/>
      <c r="G43" s="31"/>
      <c r="H43" s="31"/>
      <c r="K43" s="43"/>
      <c r="L43" s="44"/>
      <c r="M43" s="202" t="str">
        <f>M6</f>
        <v>OGO A-962 (CRO9)</v>
      </c>
    </row>
    <row r="44" spans="1:13" ht="16.5" thickBot="1" thickTop="1">
      <c r="A44" s="77"/>
      <c r="B44" s="77"/>
      <c r="C44" s="78" t="s">
        <v>79</v>
      </c>
      <c r="D44" s="79"/>
      <c r="E44" s="49" t="s">
        <v>80</v>
      </c>
      <c r="F44" s="80" t="s">
        <v>81</v>
      </c>
      <c r="G44" s="81"/>
      <c r="H44" s="81"/>
      <c r="I44" s="81"/>
      <c r="J44" s="81"/>
      <c r="K44" s="81"/>
      <c r="L44" s="81"/>
      <c r="M44" s="82"/>
    </row>
    <row r="45" spans="1:13" ht="16.5" thickBot="1" thickTop="1">
      <c r="A45" s="45"/>
      <c r="B45" s="45" t="s">
        <v>82</v>
      </c>
      <c r="C45" s="46" t="s">
        <v>108</v>
      </c>
      <c r="D45" s="47"/>
      <c r="E45" s="48" t="s">
        <v>84</v>
      </c>
      <c r="F45" s="49"/>
      <c r="G45" s="49" t="s">
        <v>85</v>
      </c>
      <c r="H45" s="49"/>
      <c r="I45" s="49"/>
      <c r="J45" s="49"/>
      <c r="K45" s="49"/>
      <c r="L45" s="49" t="s">
        <v>86</v>
      </c>
      <c r="M45" s="49"/>
    </row>
    <row r="46" spans="1:13" ht="16.5" thickBot="1" thickTop="1">
      <c r="A46" s="50" t="s">
        <v>87</v>
      </c>
      <c r="B46" s="50" t="s">
        <v>88</v>
      </c>
      <c r="C46" s="51" t="s">
        <v>89</v>
      </c>
      <c r="D46" s="51" t="s">
        <v>90</v>
      </c>
      <c r="E46" s="51" t="s">
        <v>91</v>
      </c>
      <c r="F46" s="51" t="s">
        <v>92</v>
      </c>
      <c r="G46" s="51" t="s">
        <v>93</v>
      </c>
      <c r="H46" s="51" t="s">
        <v>14</v>
      </c>
      <c r="I46" s="51" t="s">
        <v>15</v>
      </c>
      <c r="J46" s="51" t="s">
        <v>192</v>
      </c>
      <c r="K46" s="51" t="s">
        <v>191</v>
      </c>
      <c r="L46" s="230" t="s">
        <v>194</v>
      </c>
      <c r="M46" s="51" t="s">
        <v>94</v>
      </c>
    </row>
    <row r="47" spans="1:13" ht="15.75" thickTop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4"/>
    </row>
    <row r="48" spans="1:13" ht="15">
      <c r="A48" s="65" t="s">
        <v>95</v>
      </c>
      <c r="B48" s="66">
        <v>400</v>
      </c>
      <c r="C48" s="67">
        <v>3.1</v>
      </c>
      <c r="D48" s="67">
        <v>6</v>
      </c>
      <c r="E48" s="67">
        <f>DETAIL!U17</f>
        <v>0.46</v>
      </c>
      <c r="F48" s="67">
        <f>DETAIL!U9</f>
        <v>1.53</v>
      </c>
      <c r="G48" s="67">
        <f>DETAIL!U10</f>
        <v>0.76</v>
      </c>
      <c r="H48" s="67">
        <f>DETAIL!U11</f>
        <v>0.44</v>
      </c>
      <c r="I48" s="67">
        <f>DETAIL!U12</f>
        <v>0.23</v>
      </c>
      <c r="J48" s="67">
        <f>DETAIL!U13</f>
        <v>0.22</v>
      </c>
      <c r="K48" s="67">
        <f>DETAIL!U14</f>
        <v>0.19</v>
      </c>
      <c r="L48" s="67">
        <f>DETAIL!U15</f>
        <v>0.12</v>
      </c>
      <c r="M48" s="85">
        <f>DETAIL!U16</f>
        <v>0.1</v>
      </c>
    </row>
    <row r="49" spans="1:13" ht="15">
      <c r="A49" s="65" t="s">
        <v>42</v>
      </c>
      <c r="B49" s="66">
        <v>800</v>
      </c>
      <c r="C49" s="67">
        <v>1.5</v>
      </c>
      <c r="D49" s="67">
        <v>3.09</v>
      </c>
      <c r="E49" s="67">
        <f>DETAIL!U27</f>
        <v>0.46</v>
      </c>
      <c r="F49" s="67">
        <f>DETAIL!U19</f>
        <v>1.53</v>
      </c>
      <c r="G49" s="67">
        <f>DETAIL!U20</f>
        <v>0.76</v>
      </c>
      <c r="H49" s="67">
        <f>DETAIL!U21</f>
        <v>0.44</v>
      </c>
      <c r="I49" s="67">
        <f>DETAIL!U22</f>
        <v>0.23</v>
      </c>
      <c r="J49" s="67">
        <f>DETAIL!U23</f>
        <v>0.22</v>
      </c>
      <c r="K49" s="67">
        <f>DETAIL!U24</f>
        <v>0.19</v>
      </c>
      <c r="L49" s="67">
        <f>DETAIL!U25</f>
        <v>0.12</v>
      </c>
      <c r="M49" s="85">
        <f>DETAIL!U26</f>
        <v>0.1</v>
      </c>
    </row>
    <row r="50" spans="1:13" ht="15">
      <c r="A50" s="55" t="s">
        <v>96</v>
      </c>
      <c r="B50" s="56">
        <v>900</v>
      </c>
      <c r="C50" s="57">
        <v>0.5</v>
      </c>
      <c r="D50" s="57">
        <v>1.49</v>
      </c>
      <c r="E50" s="57">
        <f>DETAIL!U37</f>
        <v>0.46</v>
      </c>
      <c r="F50" s="57">
        <f>DETAIL!U29</f>
        <v>1.53</v>
      </c>
      <c r="G50" s="57">
        <f>DETAIL!U30</f>
        <v>0.77</v>
      </c>
      <c r="H50" s="57">
        <f>DETAIL!U31</f>
        <v>0.44</v>
      </c>
      <c r="I50" s="57">
        <f>DETAIL!U32</f>
        <v>0.23</v>
      </c>
      <c r="J50" s="57">
        <f>DETAIL!U33</f>
        <v>0.22</v>
      </c>
      <c r="K50" s="57">
        <f>DETAIL!U34</f>
        <v>0.19</v>
      </c>
      <c r="L50" s="57">
        <f>DETAIL!U35</f>
        <v>0.12</v>
      </c>
      <c r="M50" s="83">
        <f>DETAIL!U36</f>
        <v>0.1</v>
      </c>
    </row>
    <row r="51" spans="1:13" ht="15">
      <c r="A51" s="60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84"/>
    </row>
    <row r="52" spans="1:13" ht="15">
      <c r="A52" s="55" t="s">
        <v>44</v>
      </c>
      <c r="B52" s="56">
        <v>1200</v>
      </c>
      <c r="C52" s="57">
        <v>0</v>
      </c>
      <c r="D52" s="57">
        <v>0.49</v>
      </c>
      <c r="E52" s="57">
        <f>DETAIL!U47</f>
        <v>0.42</v>
      </c>
      <c r="F52" s="57">
        <f>DETAIL!U39</f>
        <v>1.37</v>
      </c>
      <c r="G52" s="57">
        <f>DETAIL!U40</f>
        <v>0.69</v>
      </c>
      <c r="H52" s="57">
        <f>DETAIL!U41</f>
        <v>0.4</v>
      </c>
      <c r="I52" s="57">
        <f>DETAIL!U42</f>
        <v>0.21</v>
      </c>
      <c r="J52" s="57">
        <f>DETAIL!U43</f>
        <v>0.22</v>
      </c>
      <c r="K52" s="57">
        <f>DETAIL!U44</f>
        <v>0.17</v>
      </c>
      <c r="L52" s="57">
        <f>DETAIL!U45</f>
        <v>0.11</v>
      </c>
      <c r="M52" s="83">
        <f>DETAIL!U46</f>
        <v>0.09</v>
      </c>
    </row>
    <row r="53" spans="1:13" ht="15">
      <c r="A53" s="60"/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84"/>
    </row>
    <row r="54" spans="1:13" ht="15">
      <c r="A54" s="65" t="s">
        <v>24</v>
      </c>
      <c r="B54" s="66">
        <v>500</v>
      </c>
      <c r="C54" s="67">
        <v>3.1</v>
      </c>
      <c r="D54" s="67">
        <v>6</v>
      </c>
      <c r="E54" s="67">
        <f>DETAIL!U57</f>
        <v>0.46</v>
      </c>
      <c r="F54" s="67">
        <f>DETAIL!U49</f>
        <v>1.53</v>
      </c>
      <c r="G54" s="67">
        <f>DETAIL!U50</f>
        <v>0.76</v>
      </c>
      <c r="H54" s="67">
        <f>DETAIL!U51</f>
        <v>0.44</v>
      </c>
      <c r="I54" s="67">
        <f>DETAIL!U52</f>
        <v>0.23</v>
      </c>
      <c r="J54" s="67">
        <f>DETAIL!U53</f>
        <v>0.22</v>
      </c>
      <c r="K54" s="67">
        <f>DETAIL!U54</f>
        <v>0.19</v>
      </c>
      <c r="L54" s="67">
        <f>DETAIL!U55</f>
        <v>0.12</v>
      </c>
      <c r="M54" s="85">
        <f>DETAIL!U56</f>
        <v>0.1</v>
      </c>
    </row>
    <row r="55" spans="1:13" ht="15">
      <c r="A55" s="65" t="s">
        <v>45</v>
      </c>
      <c r="B55" s="66">
        <v>600</v>
      </c>
      <c r="C55" s="67">
        <v>0.5</v>
      </c>
      <c r="D55" s="67">
        <v>3.1</v>
      </c>
      <c r="E55" s="67">
        <f>DETAIL!U67</f>
        <v>0.46</v>
      </c>
      <c r="F55" s="67">
        <f>DETAIL!U59</f>
        <v>1.53</v>
      </c>
      <c r="G55" s="67">
        <f>DETAIL!U60</f>
        <v>0.76</v>
      </c>
      <c r="H55" s="67">
        <f>DETAIL!U61</f>
        <v>0.44</v>
      </c>
      <c r="I55" s="67">
        <f>DETAIL!U62</f>
        <v>0.23</v>
      </c>
      <c r="J55" s="67">
        <f>DETAIL!U63</f>
        <v>0.22</v>
      </c>
      <c r="K55" s="67">
        <f>DETAIL!U64</f>
        <v>0.19</v>
      </c>
      <c r="L55" s="67">
        <f>DETAIL!U65</f>
        <v>0.12</v>
      </c>
      <c r="M55" s="85">
        <f>DETAIL!U66</f>
        <v>0.1</v>
      </c>
    </row>
    <row r="56" spans="1:13" ht="15">
      <c r="A56" s="65" t="s">
        <v>199</v>
      </c>
      <c r="B56" s="66">
        <v>700</v>
      </c>
      <c r="C56" s="67">
        <v>0</v>
      </c>
      <c r="D56" s="67">
        <v>0.49</v>
      </c>
      <c r="E56" s="67">
        <f>DETAIL!U77</f>
        <v>0.46</v>
      </c>
      <c r="F56" s="67">
        <f>DETAIL!U69</f>
        <v>1.53</v>
      </c>
      <c r="G56" s="67">
        <f>DETAIL!U70</f>
        <v>0.76</v>
      </c>
      <c r="H56" s="67">
        <f>DETAIL!U71</f>
        <v>0.44</v>
      </c>
      <c r="I56" s="67">
        <f>DETAIL!U72</f>
        <v>0.23</v>
      </c>
      <c r="J56" s="67">
        <f>DETAIL!U73</f>
        <v>0.22</v>
      </c>
      <c r="K56" s="67">
        <f>DETAIL!U74</f>
        <v>0.19</v>
      </c>
      <c r="L56" s="67">
        <f>DETAIL!U75</f>
        <v>0.12</v>
      </c>
      <c r="M56" s="85">
        <f>DETAIL!U76</f>
        <v>0.1</v>
      </c>
    </row>
    <row r="57" spans="1:13" ht="15">
      <c r="A57" s="6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84"/>
    </row>
    <row r="58" spans="1:13" ht="15">
      <c r="A58" s="65" t="s">
        <v>26</v>
      </c>
      <c r="B58" s="66">
        <v>1000</v>
      </c>
      <c r="C58" s="67">
        <v>0</v>
      </c>
      <c r="D58" s="67">
        <v>6</v>
      </c>
      <c r="E58" s="67">
        <f>DETAIL!U87</f>
        <v>0.48</v>
      </c>
      <c r="F58" s="67">
        <f>DETAIL!U79</f>
        <v>1.59</v>
      </c>
      <c r="G58" s="67">
        <f>DETAIL!U80</f>
        <v>0.8</v>
      </c>
      <c r="H58" s="67">
        <f>DETAIL!U81</f>
        <v>0.46</v>
      </c>
      <c r="I58" s="67">
        <f>DETAIL!U82</f>
        <v>0.24</v>
      </c>
      <c r="J58" s="67">
        <f>DETAIL!U83</f>
        <v>0.23</v>
      </c>
      <c r="K58" s="67">
        <f>DETAIL!U84</f>
        <v>0.2</v>
      </c>
      <c r="L58" s="67">
        <f>DETAIL!U85</f>
        <v>0.13</v>
      </c>
      <c r="M58" s="85">
        <f>DETAIL!U86</f>
        <v>0.1</v>
      </c>
    </row>
    <row r="59" spans="1:13" ht="15">
      <c r="A59" s="65" t="s">
        <v>158</v>
      </c>
      <c r="B59" s="66">
        <v>510</v>
      </c>
      <c r="C59" s="67">
        <v>0</v>
      </c>
      <c r="D59" s="67">
        <v>17.99</v>
      </c>
      <c r="E59" s="67">
        <f>DETAIL!U97</f>
        <v>0.76</v>
      </c>
      <c r="F59" s="67">
        <f>DETAIL!$U89</f>
        <v>2.71</v>
      </c>
      <c r="G59" s="67">
        <f>DETAIL!$U90</f>
        <v>1.36</v>
      </c>
      <c r="H59" s="67">
        <f>DETAIL!$U91</f>
        <v>0.74</v>
      </c>
      <c r="I59" s="67">
        <f>DETAIL!$U92</f>
        <v>0.38</v>
      </c>
      <c r="J59" s="67">
        <f>DETAIL!$U93</f>
        <v>0.33</v>
      </c>
      <c r="K59" s="67">
        <f>DETAIL!$U94</f>
        <v>0.29</v>
      </c>
      <c r="L59" s="67">
        <f>DETAIL!$U95</f>
        <v>0.2</v>
      </c>
      <c r="M59" s="83">
        <f>DETAIL!$U96</f>
        <v>0.14</v>
      </c>
    </row>
    <row r="60" spans="1:13" ht="15">
      <c r="A60" s="6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84"/>
    </row>
    <row r="61" spans="1:13" ht="15">
      <c r="A61" s="55" t="s">
        <v>109</v>
      </c>
      <c r="B61" s="56">
        <v>1500</v>
      </c>
      <c r="C61" s="57">
        <v>6.01</v>
      </c>
      <c r="D61" s="57">
        <v>17.99</v>
      </c>
      <c r="E61" s="57">
        <f>DETAIL!U106</f>
        <v>0.66</v>
      </c>
      <c r="F61" s="57"/>
      <c r="G61" s="57">
        <f>DETAIL!U99</f>
        <v>1.16</v>
      </c>
      <c r="H61" s="57">
        <f>DETAIL!U100</f>
        <v>0.64</v>
      </c>
      <c r="I61" s="57">
        <f>DETAIL!U101</f>
        <v>0.33</v>
      </c>
      <c r="J61" s="57">
        <f>DETAIL!U102</f>
        <v>0.3</v>
      </c>
      <c r="K61" s="57">
        <f>DETAIL!U103</f>
        <v>0.26</v>
      </c>
      <c r="L61" s="57">
        <f>DETAIL!U104</f>
        <v>0.17</v>
      </c>
      <c r="M61" s="83">
        <f>DETAIL!U105</f>
        <v>0.12</v>
      </c>
    </row>
    <row r="62" spans="1:13" ht="15">
      <c r="A62" s="6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84"/>
    </row>
    <row r="63" spans="1:13" ht="15">
      <c r="A63" s="65" t="s">
        <v>64</v>
      </c>
      <c r="B63" s="66">
        <v>1700</v>
      </c>
      <c r="C63" s="67">
        <v>18</v>
      </c>
      <c r="D63" s="67">
        <v>29.99</v>
      </c>
      <c r="E63" s="67">
        <f>DETAIL!U118</f>
        <v>0.67</v>
      </c>
      <c r="F63" s="67"/>
      <c r="G63" s="67">
        <f>DETAIL!U111</f>
        <v>1.17</v>
      </c>
      <c r="H63" s="67">
        <f>DETAIL!U112</f>
        <v>0.65</v>
      </c>
      <c r="I63" s="67">
        <f>DETAIL!U113</f>
        <v>0.33</v>
      </c>
      <c r="J63" s="67">
        <f>DETAIL!U114</f>
        <v>0.3</v>
      </c>
      <c r="K63" s="67">
        <f>DETAIL!U115</f>
        <v>0.26</v>
      </c>
      <c r="L63" s="67">
        <f>DETAIL!U116</f>
        <v>0.17</v>
      </c>
      <c r="M63" s="85">
        <f>DETAIL!U117</f>
        <v>0.12</v>
      </c>
    </row>
    <row r="64" spans="1:13" ht="15">
      <c r="A64" s="65" t="s">
        <v>48</v>
      </c>
      <c r="B64" s="66">
        <v>1800</v>
      </c>
      <c r="C64" s="67">
        <v>30</v>
      </c>
      <c r="D64" s="67">
        <v>35.99</v>
      </c>
      <c r="E64" s="67">
        <f>DETAIL!U127</f>
        <v>0.67</v>
      </c>
      <c r="F64" s="67"/>
      <c r="G64" s="67">
        <f>DETAIL!U120</f>
        <v>1.17</v>
      </c>
      <c r="H64" s="67">
        <f>DETAIL!U121</f>
        <v>0.65</v>
      </c>
      <c r="I64" s="67">
        <f>DETAIL!U122</f>
        <v>0.33</v>
      </c>
      <c r="J64" s="67">
        <f>DETAIL!U123</f>
        <v>0.3</v>
      </c>
      <c r="K64" s="67">
        <f>DETAIL!U124</f>
        <v>0.26</v>
      </c>
      <c r="L64" s="67">
        <f>DETAIL!U125</f>
        <v>0.17</v>
      </c>
      <c r="M64" s="85">
        <f>DETAIL!U126</f>
        <v>0.12</v>
      </c>
    </row>
    <row r="65" spans="1:13" ht="15">
      <c r="A65" s="55" t="s">
        <v>49</v>
      </c>
      <c r="B65" s="56">
        <v>1900</v>
      </c>
      <c r="C65" s="57">
        <v>36</v>
      </c>
      <c r="D65" s="57">
        <v>50</v>
      </c>
      <c r="E65" s="57">
        <f>DETAIL!U136</f>
        <v>0.67</v>
      </c>
      <c r="F65" s="57"/>
      <c r="G65" s="57">
        <f>DETAIL!U129</f>
        <v>1.17</v>
      </c>
      <c r="H65" s="57">
        <f>DETAIL!U130</f>
        <v>0.65</v>
      </c>
      <c r="I65" s="57">
        <f>DETAIL!U131</f>
        <v>0.33</v>
      </c>
      <c r="J65" s="57">
        <f>DETAIL!U132</f>
        <v>0.3</v>
      </c>
      <c r="K65" s="57">
        <f>DETAIL!U133</f>
        <v>0.26</v>
      </c>
      <c r="L65" s="57">
        <f>DETAIL!U134</f>
        <v>0.17</v>
      </c>
      <c r="M65" s="83">
        <f>DETAIL!U135</f>
        <v>0.12</v>
      </c>
    </row>
    <row r="66" spans="1:13" ht="15">
      <c r="A66" s="6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84"/>
    </row>
    <row r="67" spans="1:13" ht="15.75" thickBot="1">
      <c r="A67" s="70" t="s">
        <v>110</v>
      </c>
      <c r="B67" s="71">
        <v>1600</v>
      </c>
      <c r="C67" s="72">
        <v>0</v>
      </c>
      <c r="D67" s="72">
        <v>29.99</v>
      </c>
      <c r="E67" s="72">
        <f>DETAIL!U145</f>
        <v>1.14</v>
      </c>
      <c r="F67" s="72"/>
      <c r="G67" s="72">
        <f>DETAIL!U138</f>
        <v>2.2</v>
      </c>
      <c r="H67" s="72">
        <f>DETAIL!U139</f>
        <v>1.16</v>
      </c>
      <c r="I67" s="72">
        <f>DETAIL!U140</f>
        <v>0.59</v>
      </c>
      <c r="J67" s="72">
        <f>DETAIL!U141</f>
        <v>0.43</v>
      </c>
      <c r="K67" s="72">
        <f>DETAIL!U142</f>
        <v>0.36</v>
      </c>
      <c r="L67" s="72">
        <f>DETAIL!U143</f>
        <v>0.3</v>
      </c>
      <c r="M67" s="86">
        <f>DETAIL!U144</f>
        <v>0.17</v>
      </c>
    </row>
    <row r="68" spans="1:13" ht="15.75" thickTop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5">
      <c r="A69" s="75" t="s">
        <v>111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5">
      <c r="A70" s="75" t="s">
        <v>112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5">
      <c r="A71" s="75" t="s">
        <v>113</v>
      </c>
      <c r="B71" s="75" t="s">
        <v>114</v>
      </c>
      <c r="C71" s="119">
        <f>ROUND(C36+0.075,2)</f>
        <v>2.74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5">
      <c r="A72" s="75"/>
      <c r="B72" s="75" t="s">
        <v>115</v>
      </c>
      <c r="C72" s="119">
        <f>ROUND(F36+0.15,2)</f>
        <v>5.47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5">
      <c r="A73" s="75" t="s">
        <v>145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5">
      <c r="A74" s="231" t="str">
        <f>CONCATENATE("        /5/  ADD $",INPUT!D20," WHEN SOLD IN RIGID PLASTIC CONTAINERS.")</f>
        <v>        /5/  ADD $0.01 WHEN SOLD IN RIGID PLASTIC CONTAINERS.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</sheetData>
  <sheetProtection/>
  <mergeCells count="1">
    <mergeCell ref="A35:D35"/>
  </mergeCells>
  <printOptions horizontalCentered="1" verticalCentered="1"/>
  <pageMargins left="0.5" right="0.5" top="0.5" bottom="0.5" header="0.5" footer="0.5"/>
  <pageSetup fitToHeight="0" fitToWidth="1" horizontalDpi="600" verticalDpi="600" orientation="landscape" scale="81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Ackman, Cliff</cp:lastModifiedBy>
  <cp:lastPrinted>2016-02-08T18:04:08Z</cp:lastPrinted>
  <dcterms:created xsi:type="dcterms:W3CDTF">1998-10-19T18:47:17Z</dcterms:created>
  <dcterms:modified xsi:type="dcterms:W3CDTF">2019-06-17T19:18:11Z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2600.00000000000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