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490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S" sheetId="5" r:id="rId5"/>
  </sheets>
  <externalReferences>
    <externalReference r:id="rId8"/>
  </externalReferences>
  <definedNames>
    <definedName name="ADVANCE_CL2_DIFF">'INPUT'!#REF!</definedName>
    <definedName name="BF_DIFF">'INPUT'!$B$12</definedName>
    <definedName name="Cl_1_BF">'INPUT'!$B$10</definedName>
    <definedName name="Cl_1_Skim">'INPUT'!$B$9</definedName>
    <definedName name="Cl_2_BF">'INPUT'!$B$12</definedName>
    <definedName name="Cl_2_Skim">'INPUT'!$B$11</definedName>
    <definedName name="CLASS_1_PRiCE">'INPUT'!$B$9</definedName>
    <definedName name="CLASS2_PRICE">'INPUT'!#REF!</definedName>
    <definedName name="COST_UPDATE_ADJ">'INPUT'!$B$42</definedName>
    <definedName name="CREAM_ADDON">'INPUT'!$B$62</definedName>
    <definedName name="CREAMER_ADDON">'INPUT'!$B$61</definedName>
    <definedName name="DISP_CTNR_CST">'INPUT'!$B$31</definedName>
    <definedName name="Energy_Addon">'INPUT'!$B$19</definedName>
    <definedName name="FOURoz_CTNR_CST">'INPUT'!$B$30</definedName>
    <definedName name="GAL_CTNR_CST">'INPUT'!$B$22</definedName>
    <definedName name="H_AND_H_ADDON">'INPUT'!$B$60</definedName>
    <definedName name="HGAL_CTNR_COST">'INPUT'!$B$23</definedName>
    <definedName name="HPT_CTNR_CST">'INPUT'!$B$28</definedName>
    <definedName name="_xlnm.Print_Area" localSheetId="2">'CNTNR COST'!$A$4:$G$143</definedName>
    <definedName name="_xlnm.Print_Area" localSheetId="0">'INPUT'!$A$1:$H$65</definedName>
    <definedName name="_xlnm.Print_Titles" localSheetId="2">'CNTNR COST'!$1:$3</definedName>
    <definedName name="_xlnm.Print_Titles" localSheetId="3">'DETAIL'!$1:$7</definedName>
    <definedName name="PROCESS_CST">'INPUT'!$B$39</definedName>
    <definedName name="PROFIT">'INPUT'!$B$65</definedName>
    <definedName name="PT_CTNR_CST">'INPUT'!$B$25</definedName>
    <definedName name="QT_CTNR_CST">'INPUT'!$B$24</definedName>
    <definedName name="RETAIL_PRFT">'[1]INPUT'!$B$59</definedName>
    <definedName name="SC_ADDON">'INPUT'!$B$63</definedName>
    <definedName name="SCHEDULE_1">'SCHEDULES'!$A$1:$M$37</definedName>
    <definedName name="SCHEDULE_2">'SCHEDULES'!$A$40:$M$76</definedName>
    <definedName name="STOP_CHARGE">'INPUT'!$B$17</definedName>
    <definedName name="TENoz_CTNRCST">'INPUT'!$B$27</definedName>
    <definedName name="Z_6749BBA2_7883_11D2_AC8B_00A0247DF0CD_.wvu.PrintArea" localSheetId="2" hidden="1">'CNTNR COST'!$A$4:$G$143</definedName>
    <definedName name="Z_6749BBA2_7883_11D2_AC8B_00A0247DF0CD_.wvu.PrintArea" localSheetId="3" hidden="1">'DETAIL'!$C$8:$S$145</definedName>
    <definedName name="Z_6749BBA2_7883_11D2_AC8B_00A0247DF0CD_.wvu.PrintArea" localSheetId="4" hidden="1">'SCHEDULES'!$A$40:$M$76</definedName>
    <definedName name="Z_6749BBA2_7883_11D2_AC8B_00A0247DF0CD_.wvu.PrintTitles" localSheetId="2" hidden="1">'CNTNR COST'!$1:$3</definedName>
    <definedName name="Z_6749BBA2_7883_11D2_AC8B_00A0247DF0CD_.wvu.PrintTitles" localSheetId="3" hidden="1">'DETAIL'!$1:$7</definedName>
  </definedNames>
  <calcPr fullCalcOnLoad="1"/>
</workbook>
</file>

<file path=xl/sharedStrings.xml><?xml version="1.0" encoding="utf-8"?>
<sst xmlns="http://schemas.openxmlformats.org/spreadsheetml/2006/main" count="566" uniqueCount="190">
  <si>
    <t>SOUTHEASTERN MILK MARKETING AREA,  AREA NO. 1</t>
  </si>
  <si>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</si>
  <si>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</si>
  <si>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</si>
  <si>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</si>
  <si>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</si>
  <si>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</si>
  <si>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</si>
  <si>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Enter number with 4 decimal places</t>
  </si>
  <si>
    <t>Stop Charge</t>
  </si>
  <si>
    <t>Energy Addon</t>
  </si>
  <si>
    <t>CURRENT</t>
  </si>
  <si>
    <t>PROCESSING COST</t>
  </si>
  <si>
    <t>GALLON</t>
  </si>
  <si>
    <t>HALFGALLON</t>
  </si>
  <si>
    <t>QUART</t>
  </si>
  <si>
    <t>PINT</t>
  </si>
  <si>
    <t xml:space="preserve">4oz </t>
  </si>
  <si>
    <t>DISPENSER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</si>
  <si>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</si>
  <si>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</si>
  <si>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</si>
  <si>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</si>
  <si>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</si>
  <si>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</si>
  <si>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</si>
  <si>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</si>
  <si>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</si>
  <si>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HALF &amp; HALF ADD-ON</t>
  </si>
  <si>
    <t>CREAMER ADD-ON</t>
  </si>
  <si>
    <t>CREAM ADD-ON</t>
  </si>
  <si>
    <t>SOUR CREAM ADD-ON</t>
  </si>
  <si>
    <t>PROFIT</t>
  </si>
  <si>
    <t>PENNSYLVANIA MILK MARKETING BOARD</t>
  </si>
  <si>
    <t>COMPUTATION OF RAW PRODUCT COST</t>
  </si>
  <si>
    <t>AREA 1 RESALE PRICE BUILD-UP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</si>
  <si>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</si>
  <si>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</si>
  <si>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</si>
  <si>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</si>
  <si>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</si>
  <si>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</si>
  <si>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</si>
  <si>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</si>
  <si>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</si>
  <si>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</si>
  <si>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</si>
  <si>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INGREDIENT</t>
  </si>
  <si>
    <t>ADJUSTMENT</t>
  </si>
  <si>
    <t>HALF &amp; HALF (MIXED MILK)</t>
  </si>
  <si>
    <t>MEDIUM CREAM</t>
  </si>
  <si>
    <t>HEAVY CREAM</t>
  </si>
  <si>
    <t>UNADJUSTED COST PER CONTAINER - AREA 1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</si>
  <si>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</si>
  <si>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</si>
  <si>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</si>
  <si>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</si>
  <si>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</si>
  <si>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</si>
  <si>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</si>
  <si>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</si>
  <si>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</si>
  <si>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</si>
  <si>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</si>
  <si>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</si>
  <si>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</si>
  <si>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</si>
  <si>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</si>
  <si>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</si>
  <si>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AREA 1 PRICE BUILD-UP</t>
  </si>
  <si>
    <t>AVERAGE</t>
  </si>
  <si>
    <t>CREAM FIXED</t>
  </si>
  <si>
    <t>PRICE</t>
  </si>
  <si>
    <t>SMALL</t>
  </si>
  <si>
    <t>DELIVERED</t>
  </si>
  <si>
    <t>ADD-ON</t>
  </si>
  <si>
    <t>WHOLESALE</t>
  </si>
  <si>
    <t>WITH</t>
  </si>
  <si>
    <t>DELIVERY</t>
  </si>
  <si>
    <t>FACTOR</t>
  </si>
  <si>
    <t>ADJUST.</t>
  </si>
  <si>
    <t>RETAIL</t>
  </si>
  <si>
    <t>DISP./QT.</t>
  </si>
  <si>
    <t>AREA  1</t>
  </si>
  <si>
    <t>SOUTHEASTERN MILK MARKETING AREA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</si>
  <si>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</si>
  <si>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</si>
  <si>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</si>
  <si>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</si>
  <si>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</si>
  <si>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</si>
  <si>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</si>
  <si>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</si>
  <si>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</si>
  <si>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</si>
  <si>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</si>
  <si>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</si>
  <si>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</si>
  <si>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</si>
  <si>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</si>
  <si>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4 OZ.</t>
  </si>
  <si>
    <t>STANDARD MILK</t>
  </si>
  <si>
    <t>LOWFAT MILK, 1% MILKFAT</t>
  </si>
  <si>
    <t>MIXED MILK /3/</t>
  </si>
  <si>
    <t>SOUR CREAM /4/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</si>
  <si>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</si>
  <si>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</si>
  <si>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</si>
  <si>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</si>
  <si>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</si>
  <si>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    /4/    SOUR CREAM :</t>
  </si>
  <si>
    <t xml:space="preserve">5 LBS.  - 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</si>
  <si>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</si>
  <si>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</si>
  <si>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</si>
  <si>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</si>
  <si>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</si>
  <si>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</si>
  <si>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</si>
  <si>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</si>
  <si>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</si>
  <si>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</si>
  <si>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 xml:space="preserve">        /4/  ADD $0.0425 PER QUART FOR HOME-DELIVERED MILK</t>
  </si>
  <si>
    <t>10 LBS.  -</t>
  </si>
  <si>
    <t>VALUE</t>
  </si>
  <si>
    <t>SKIM RATE</t>
  </si>
  <si>
    <t>BUTTERFAT RATE</t>
  </si>
  <si>
    <t>CLASS I</t>
  </si>
  <si>
    <t>CLASS II</t>
  </si>
  <si>
    <t>COST UPDATE ADJ. INCL ENERGY</t>
  </si>
  <si>
    <t>Class I Skim Value</t>
  </si>
  <si>
    <t>Class I Butterfat Value</t>
  </si>
  <si>
    <t>Adv. Adjusted Class II Skim Price</t>
  </si>
  <si>
    <t>Adv. Adjusted Class II Butterfat Price</t>
  </si>
  <si>
    <t>EGG NOG</t>
  </si>
  <si>
    <t>EGGNOG</t>
  </si>
  <si>
    <t>STANDARD  (WHOLE)</t>
  </si>
  <si>
    <t>MILK</t>
  </si>
  <si>
    <t>REDUCED FAT  (2%)</t>
  </si>
  <si>
    <t>LOWFAT  (1%)</t>
  </si>
  <si>
    <t>NONFAT  (SKIM)</t>
  </si>
  <si>
    <t>REDUCED FAT</t>
  </si>
  <si>
    <t>LIGHT</t>
  </si>
  <si>
    <t>CREAM</t>
  </si>
  <si>
    <t>MEDIUM</t>
  </si>
  <si>
    <t>HEAVY</t>
  </si>
  <si>
    <t>PROPOSED</t>
  </si>
  <si>
    <t>energy</t>
  </si>
  <si>
    <t>addon</t>
  </si>
  <si>
    <t>Plastic Case Cost</t>
  </si>
  <si>
    <t>CASE</t>
  </si>
  <si>
    <t>10 ounce</t>
  </si>
  <si>
    <t>12 ounce</t>
  </si>
  <si>
    <t>12 OUNCE</t>
  </si>
  <si>
    <t>12 OZ.</t>
  </si>
  <si>
    <t>10 OZ.</t>
  </si>
  <si>
    <t>BULK (PROFIT)/LOSS ADJ</t>
  </si>
  <si>
    <t>in store handling costs</t>
  </si>
  <si>
    <t>per quart</t>
  </si>
  <si>
    <t>MAX</t>
  </si>
  <si>
    <t>DISCOUNT</t>
  </si>
  <si>
    <t>BASE</t>
  </si>
  <si>
    <t>PERCENT</t>
  </si>
  <si>
    <t>HANDLING</t>
  </si>
  <si>
    <t>max discount</t>
  </si>
  <si>
    <t>retail profit percent</t>
  </si>
  <si>
    <t>Consumer Price Index</t>
  </si>
  <si>
    <t>Enter number with 3 decimal places</t>
  </si>
  <si>
    <t>adjusted in-store costs</t>
  </si>
  <si>
    <t>cpi used in Sept 2007</t>
  </si>
  <si>
    <t>Container Costs</t>
  </si>
  <si>
    <t>HALF PINT PAPER</t>
  </si>
  <si>
    <t>HALF PINT PLASTIC ADD-ON</t>
  </si>
  <si>
    <t>/5/</t>
  </si>
  <si>
    <t>Flavored Milk Cost</t>
  </si>
  <si>
    <t>Flavored Milk Drink Cost</t>
  </si>
  <si>
    <t>Flavored Milk Cost Updates</t>
  </si>
  <si>
    <t xml:space="preserve">    /6/    SCHOOL STOP CHARGE IS</t>
  </si>
  <si>
    <t>Non FAT FLAVORED MILK DRINK</t>
  </si>
  <si>
    <t>NON FAT FLVR RED FAT MILK</t>
  </si>
  <si>
    <t>FLAVORED NONFAT MILK</t>
  </si>
  <si>
    <t>NON FAT</t>
  </si>
  <si>
    <t>NONFAT FLAVORED MILK</t>
  </si>
  <si>
    <t>Non-fat Flavored Milk Drink Cost</t>
  </si>
  <si>
    <t>/1/</t>
  </si>
  <si>
    <t>GAL.</t>
  </si>
  <si>
    <t xml:space="preserve">SCHEDULE I </t>
  </si>
  <si>
    <t>MINIMUM WHOLESALE PRICES</t>
  </si>
  <si>
    <t>10 LBS. -</t>
  </si>
  <si>
    <t>OGO A-993 (CRO 5)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</si>
</sst>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mmmm\ d\,\ yyyy"/>
    <numFmt numFmtId="186" formatCode="mmm\-yyyy"/>
    <numFmt numFmtId="187" formatCode="mmmm\-yyyy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.00000_);\(#,##0.00000\)"/>
    <numFmt numFmtId="195" formatCode="&quot;$&quot;#,##0.0000"/>
    <numFmt numFmtId="196" formatCode="_(&quot;$&quot;* #,##0.0_);_(&quot;$&quot;* \(#,##0.0\);_(&quot;$&quot;* &quot;-&quot;??_);_(@_)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???_);_(@_)"/>
    <numFmt numFmtId="200" formatCode="0.0%"/>
    <numFmt numFmtId="201" formatCode="&quot;Case of 300 = &quot;&quot;$&quot;* #,##0.00_);\(&quot;$&quot;* \(#,##0.00\);_(&quot;$&quot;* &quot;-&quot;_);_(@_)"/>
    <numFmt numFmtId="202" formatCode="&quot;Case of 400 = &quot;&quot;$&quot;* #,##0.00_);\(&quot;$&quot;* \(#,##0.00\);_(&quot;$&quot;* &quot;-&quot;_);_(@_)"/>
  </numFmts>
  <fonts count="74">
    <font>
      <sz val="10"/>
      <name val="Arial"/>
      <family val="0"/>
    </font>
    <font>
      <sz val="12"/>
      <name val="Arial MT"/>
      <family val="2"/>
    </font>
    <font>
      <sz val="1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 MT"/>
      <family val="0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name val="Arial MT"/>
      <family val="0"/>
    </font>
    <font>
      <b/>
      <sz val="12"/>
      <name val="Arial"/>
      <family val="2"/>
    </font>
    <font>
      <sz val="20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2"/>
    </font>
    <font>
      <sz val="12"/>
      <color indexed="9"/>
      <name val="Arial MT"/>
      <family val="0"/>
    </font>
    <font>
      <b/>
      <sz val="10"/>
      <color indexed="9"/>
      <name val="Arial MT"/>
      <family val="2"/>
    </font>
    <font>
      <b/>
      <sz val="12"/>
      <color indexed="9"/>
      <name val="Arial MT"/>
      <family val="0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rgb="FFFF0000"/>
      <name val="Arial MT"/>
      <family val="2"/>
    </font>
    <font>
      <sz val="12"/>
      <color theme="0"/>
      <name val="Arial MT"/>
      <family val="0"/>
    </font>
    <font>
      <b/>
      <sz val="10"/>
      <color theme="0"/>
      <name val="Arial MT"/>
      <family val="2"/>
    </font>
    <font>
      <sz val="10"/>
      <color theme="0"/>
      <name val="Arial"/>
      <family val="2"/>
    </font>
    <font>
      <b/>
      <sz val="12"/>
      <color theme="0"/>
      <name val="Arial MT"/>
      <family val="0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8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2" fontId="0" fillId="0" borderId="16" xfId="0" applyNumberFormat="1" applyBorder="1" applyAlignment="1">
      <alignment/>
    </xf>
    <xf numFmtId="182" fontId="0" fillId="0" borderId="23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20" xfId="0" applyFont="1" applyBorder="1" applyAlignment="1">
      <alignment/>
    </xf>
    <xf numFmtId="0" fontId="9" fillId="0" borderId="29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180" fontId="9" fillId="0" borderId="14" xfId="0" applyNumberFormat="1" applyFont="1" applyBorder="1" applyAlignment="1">
      <alignment/>
    </xf>
    <xf numFmtId="180" fontId="9" fillId="0" borderId="35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180" fontId="9" fillId="0" borderId="37" xfId="0" applyNumberFormat="1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2" fontId="9" fillId="0" borderId="39" xfId="0" applyNumberFormat="1" applyFont="1" applyBorder="1" applyAlignment="1">
      <alignment/>
    </xf>
    <xf numFmtId="180" fontId="9" fillId="0" borderId="39" xfId="0" applyNumberFormat="1" applyFont="1" applyBorder="1" applyAlignment="1">
      <alignment/>
    </xf>
    <xf numFmtId="180" fontId="9" fillId="0" borderId="40" xfId="0" applyNumberFormat="1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2" fontId="9" fillId="0" borderId="42" xfId="0" applyNumberFormat="1" applyFont="1" applyBorder="1" applyAlignment="1">
      <alignment/>
    </xf>
    <xf numFmtId="180" fontId="9" fillId="0" borderId="42" xfId="0" applyNumberFormat="1" applyFont="1" applyBorder="1" applyAlignment="1">
      <alignment/>
    </xf>
    <xf numFmtId="180" fontId="9" fillId="0" borderId="43" xfId="0" applyNumberFormat="1" applyFont="1" applyBorder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8" fontId="9" fillId="0" borderId="0" xfId="0" applyNumberFormat="1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9" fillId="0" borderId="27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2" fontId="9" fillId="0" borderId="35" xfId="0" applyNumberFormat="1" applyFont="1" applyBorder="1" applyAlignment="1">
      <alignment/>
    </xf>
    <xf numFmtId="2" fontId="9" fillId="0" borderId="37" xfId="0" applyNumberFormat="1" applyFont="1" applyBorder="1" applyAlignment="1">
      <alignment/>
    </xf>
    <xf numFmtId="2" fontId="9" fillId="0" borderId="40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3" fillId="33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7" fontId="16" fillId="34" borderId="44" xfId="0" applyNumberFormat="1" applyFont="1" applyFill="1" applyBorder="1" applyAlignment="1" applyProtection="1">
      <alignment horizontal="centerContinuous"/>
      <protection/>
    </xf>
    <xf numFmtId="0" fontId="18" fillId="34" borderId="45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165" fontId="20" fillId="0" borderId="0" xfId="0" applyNumberFormat="1" applyFont="1" applyAlignment="1" applyProtection="1">
      <alignment horizontal="centerContinuous" vertical="center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/>
      <protection/>
    </xf>
    <xf numFmtId="37" fontId="9" fillId="0" borderId="51" xfId="0" applyNumberFormat="1" applyFont="1" applyBorder="1" applyAlignment="1" applyProtection="1">
      <alignment/>
      <protection/>
    </xf>
    <xf numFmtId="37" fontId="9" fillId="0" borderId="52" xfId="0" applyNumberFormat="1" applyFont="1" applyBorder="1" applyAlignment="1" applyProtection="1">
      <alignment/>
      <protection/>
    </xf>
    <xf numFmtId="37" fontId="9" fillId="0" borderId="53" xfId="0" applyNumberFormat="1" applyFont="1" applyBorder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169" fontId="9" fillId="0" borderId="0" xfId="0" applyNumberFormat="1" applyFont="1" applyAlignment="1" applyProtection="1">
      <alignment/>
      <protection/>
    </xf>
    <xf numFmtId="171" fontId="9" fillId="0" borderId="51" xfId="0" applyNumberFormat="1" applyFont="1" applyBorder="1" applyAlignment="1" applyProtection="1">
      <alignment/>
      <protection/>
    </xf>
    <xf numFmtId="171" fontId="9" fillId="0" borderId="54" xfId="0" applyNumberFormat="1" applyFont="1" applyBorder="1" applyAlignment="1" applyProtection="1">
      <alignment/>
      <protection/>
    </xf>
    <xf numFmtId="167" fontId="9" fillId="0" borderId="54" xfId="0" applyNumberFormat="1" applyFont="1" applyBorder="1" applyAlignment="1" applyProtection="1">
      <alignment/>
      <protection/>
    </xf>
    <xf numFmtId="171" fontId="9" fillId="0" borderId="52" xfId="0" applyNumberFormat="1" applyFont="1" applyBorder="1" applyAlignment="1" applyProtection="1">
      <alignment/>
      <protection/>
    </xf>
    <xf numFmtId="171" fontId="9" fillId="0" borderId="53" xfId="0" applyNumberFormat="1" applyFont="1" applyBorder="1" applyAlignment="1" applyProtection="1">
      <alignment/>
      <protection/>
    </xf>
    <xf numFmtId="185" fontId="20" fillId="0" borderId="0" xfId="0" applyNumberFormat="1" applyFont="1" applyAlignment="1" applyProtection="1">
      <alignment horizontal="centerContinuous"/>
      <protection/>
    </xf>
    <xf numFmtId="185" fontId="4" fillId="0" borderId="0" xfId="0" applyNumberFormat="1" applyFont="1" applyAlignment="1">
      <alignment horizontal="centerContinuous"/>
    </xf>
    <xf numFmtId="185" fontId="4" fillId="0" borderId="0" xfId="0" applyNumberFormat="1" applyFont="1" applyAlignment="1">
      <alignment horizontal="centerContinuous" vertical="center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4" borderId="45" xfId="0" applyFill="1" applyBorder="1" applyAlignment="1" applyProtection="1">
      <alignment horizontal="centerContinuous"/>
      <protection/>
    </xf>
    <xf numFmtId="0" fontId="17" fillId="34" borderId="45" xfId="0" applyFont="1" applyFill="1" applyBorder="1" applyAlignment="1" applyProtection="1">
      <alignment horizontal="centerContinuous"/>
      <protection/>
    </xf>
    <xf numFmtId="0" fontId="9" fillId="34" borderId="55" xfId="0" applyFont="1" applyFill="1" applyBorder="1" applyAlignment="1" applyProtection="1">
      <alignment horizontal="centerContinuous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86" fontId="3" fillId="35" borderId="14" xfId="0" applyNumberFormat="1" applyFont="1" applyFill="1" applyBorder="1" applyAlignment="1" applyProtection="1">
      <alignment/>
      <protection locked="0"/>
    </xf>
    <xf numFmtId="187" fontId="7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44" fontId="9" fillId="0" borderId="0" xfId="44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 applyProtection="1">
      <alignment horizontal="left"/>
      <protection/>
    </xf>
    <xf numFmtId="171" fontId="0" fillId="0" borderId="0" xfId="0" applyNumberFormat="1" applyFont="1" applyAlignment="1">
      <alignment/>
    </xf>
    <xf numFmtId="0" fontId="9" fillId="0" borderId="13" xfId="0" applyFont="1" applyBorder="1" applyAlignment="1" applyProtection="1">
      <alignment/>
      <protection/>
    </xf>
    <xf numFmtId="39" fontId="21" fillId="0" borderId="13" xfId="0" applyNumberFormat="1" applyFont="1" applyBorder="1" applyAlignment="1" applyProtection="1">
      <alignment/>
      <protection/>
    </xf>
    <xf numFmtId="7" fontId="9" fillId="0" borderId="13" xfId="0" applyNumberFormat="1" applyFont="1" applyBorder="1" applyAlignment="1" applyProtection="1">
      <alignment/>
      <protection/>
    </xf>
    <xf numFmtId="0" fontId="9" fillId="0" borderId="50" xfId="0" applyFont="1" applyBorder="1" applyAlignment="1" applyProtection="1">
      <alignment horizontal="center"/>
      <protection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9" xfId="0" applyBorder="1" applyAlignment="1">
      <alignment/>
    </xf>
    <xf numFmtId="171" fontId="21" fillId="0" borderId="60" xfId="0" applyNumberFormat="1" applyFont="1" applyBorder="1" applyAlignment="1" applyProtection="1">
      <alignment/>
      <protection/>
    </xf>
    <xf numFmtId="185" fontId="20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50" xfId="0" applyFont="1" applyBorder="1" applyAlignment="1" applyProtection="1">
      <alignment horizontal="centerContinuous" vertical="center"/>
      <protection/>
    </xf>
    <xf numFmtId="0" fontId="0" fillId="0" borderId="59" xfId="0" applyBorder="1" applyAlignment="1">
      <alignment horizontal="centerContinuous" vertical="center"/>
    </xf>
    <xf numFmtId="39" fontId="21" fillId="0" borderId="60" xfId="0" applyNumberFormat="1" applyFont="1" applyBorder="1" applyAlignment="1" applyProtection="1">
      <alignment horizontal="centerContinuous" vertical="center"/>
      <protection/>
    </xf>
    <xf numFmtId="7" fontId="9" fillId="0" borderId="13" xfId="0" applyNumberFormat="1" applyFont="1" applyBorder="1" applyAlignment="1" applyProtection="1">
      <alignment horizontal="centerContinuous" vertical="center"/>
      <protection/>
    </xf>
    <xf numFmtId="171" fontId="21" fillId="0" borderId="1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7" fontId="9" fillId="35" borderId="61" xfId="0" applyNumberFormat="1" applyFont="1" applyFill="1" applyBorder="1" applyAlignment="1" applyProtection="1">
      <alignment/>
      <protection/>
    </xf>
    <xf numFmtId="37" fontId="9" fillId="35" borderId="51" xfId="0" applyNumberFormat="1" applyFont="1" applyFill="1" applyBorder="1" applyAlignment="1" applyProtection="1">
      <alignment/>
      <protection/>
    </xf>
    <xf numFmtId="37" fontId="9" fillId="35" borderId="54" xfId="0" applyNumberFormat="1" applyFont="1" applyFill="1" applyBorder="1" applyAlignment="1" applyProtection="1">
      <alignment/>
      <protection/>
    </xf>
    <xf numFmtId="37" fontId="9" fillId="35" borderId="52" xfId="0" applyNumberFormat="1" applyFont="1" applyFill="1" applyBorder="1" applyAlignment="1" applyProtection="1">
      <alignment/>
      <protection/>
    </xf>
    <xf numFmtId="37" fontId="9" fillId="35" borderId="62" xfId="0" applyNumberFormat="1" applyFont="1" applyFill="1" applyBorder="1" applyAlignment="1" applyProtection="1">
      <alignment/>
      <protection/>
    </xf>
    <xf numFmtId="37" fontId="9" fillId="35" borderId="53" xfId="0" applyNumberFormat="1" applyFont="1" applyFill="1" applyBorder="1" applyAlignment="1" applyProtection="1">
      <alignment/>
      <protection/>
    </xf>
    <xf numFmtId="37" fontId="9" fillId="35" borderId="63" xfId="0" applyNumberFormat="1" applyFont="1" applyFill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27" xfId="0" applyFont="1" applyBorder="1" applyAlignment="1">
      <alignment/>
    </xf>
    <xf numFmtId="0" fontId="0" fillId="0" borderId="64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195" fontId="4" fillId="0" borderId="20" xfId="44" applyNumberFormat="1" applyFont="1" applyBorder="1" applyAlignment="1">
      <alignment horizontal="center"/>
    </xf>
    <xf numFmtId="195" fontId="4" fillId="0" borderId="11" xfId="44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66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Continuous"/>
    </xf>
    <xf numFmtId="9" fontId="4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 hidden="1"/>
    </xf>
    <xf numFmtId="189" fontId="3" fillId="0" borderId="0" xfId="44" applyNumberFormat="1" applyFont="1" applyFill="1" applyBorder="1" applyAlignment="1" applyProtection="1">
      <alignment/>
      <protection locked="0"/>
    </xf>
    <xf numFmtId="198" fontId="9" fillId="35" borderId="15" xfId="0" applyNumberFormat="1" applyFont="1" applyFill="1" applyBorder="1" applyAlignment="1" applyProtection="1">
      <alignment/>
      <protection hidden="1"/>
    </xf>
    <xf numFmtId="198" fontId="9" fillId="35" borderId="39" xfId="0" applyNumberFormat="1" applyFont="1" applyFill="1" applyBorder="1" applyAlignment="1" applyProtection="1">
      <alignment/>
      <protection hidden="1"/>
    </xf>
    <xf numFmtId="198" fontId="9" fillId="35" borderId="14" xfId="0" applyNumberFormat="1" applyFont="1" applyFill="1" applyBorder="1" applyAlignment="1" applyProtection="1">
      <alignment/>
      <protection hidden="1"/>
    </xf>
    <xf numFmtId="0" fontId="9" fillId="0" borderId="10" xfId="0" applyFont="1" applyBorder="1" applyAlignment="1" quotePrefix="1">
      <alignment horizontal="center"/>
    </xf>
    <xf numFmtId="0" fontId="26" fillId="0" borderId="0" xfId="0" applyFont="1" applyAlignment="1">
      <alignment horizontal="centerContinuous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198" fontId="67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 hidden="1"/>
    </xf>
    <xf numFmtId="44" fontId="27" fillId="35" borderId="13" xfId="4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89" fontId="27" fillId="35" borderId="13" xfId="44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197" fontId="27" fillId="35" borderId="13" xfId="42" applyNumberFormat="1" applyFont="1" applyFill="1" applyBorder="1" applyAlignment="1" applyProtection="1">
      <alignment/>
      <protection locked="0"/>
    </xf>
    <xf numFmtId="44" fontId="27" fillId="35" borderId="13" xfId="0" applyNumberFormat="1" applyFont="1" applyFill="1" applyBorder="1" applyAlignment="1" applyProtection="1">
      <alignment/>
      <protection locked="0"/>
    </xf>
    <xf numFmtId="189" fontId="27" fillId="35" borderId="13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89" fontId="23" fillId="0" borderId="0" xfId="44" applyNumberFormat="1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189" fontId="68" fillId="0" borderId="0" xfId="44" applyNumberFormat="1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hidden="1"/>
    </xf>
    <xf numFmtId="0" fontId="70" fillId="0" borderId="0" xfId="0" applyFont="1" applyFill="1" applyAlignment="1" applyProtection="1">
      <alignment/>
      <protection hidden="1"/>
    </xf>
    <xf numFmtId="0" fontId="7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0" fontId="69" fillId="0" borderId="0" xfId="0" applyFont="1" applyFill="1" applyAlignment="1" applyProtection="1">
      <alignment/>
      <protection hidden="1"/>
    </xf>
    <xf numFmtId="0" fontId="72" fillId="0" borderId="0" xfId="0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180" fontId="67" fillId="0" borderId="0" xfId="0" applyNumberFormat="1" applyFont="1" applyFill="1" applyAlignment="1" applyProtection="1">
      <alignment/>
      <protection hidden="1"/>
    </xf>
    <xf numFmtId="10" fontId="67" fillId="0" borderId="0" xfId="0" applyNumberFormat="1" applyFont="1" applyFill="1" applyBorder="1" applyAlignment="1" applyProtection="1">
      <alignment/>
      <protection hidden="1"/>
    </xf>
    <xf numFmtId="10" fontId="67" fillId="0" borderId="0" xfId="0" applyNumberFormat="1" applyFont="1" applyFill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/>
    </xf>
    <xf numFmtId="171" fontId="67" fillId="0" borderId="0" xfId="0" applyNumberFormat="1" applyFont="1" applyFill="1" applyBorder="1" applyAlignment="1" applyProtection="1">
      <alignment/>
      <protection/>
    </xf>
    <xf numFmtId="9" fontId="67" fillId="0" borderId="0" xfId="57" applyFont="1" applyFill="1" applyAlignment="1" applyProtection="1">
      <alignment/>
      <protection hidden="1"/>
    </xf>
    <xf numFmtId="10" fontId="67" fillId="0" borderId="0" xfId="57" applyNumberFormat="1" applyFont="1" applyFill="1" applyAlignment="1" applyProtection="1">
      <alignment/>
      <protection hidden="1"/>
    </xf>
    <xf numFmtId="180" fontId="9" fillId="0" borderId="0" xfId="0" applyNumberFormat="1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80" fontId="9" fillId="0" borderId="15" xfId="0" applyNumberFormat="1" applyFont="1" applyBorder="1" applyAlignment="1">
      <alignment horizontal="center"/>
    </xf>
    <xf numFmtId="0" fontId="6" fillId="0" borderId="50" xfId="0" applyFont="1" applyBorder="1" applyAlignment="1" applyProtection="1">
      <alignment/>
      <protection/>
    </xf>
    <xf numFmtId="0" fontId="6" fillId="0" borderId="50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 vertical="center"/>
    </xf>
    <xf numFmtId="189" fontId="9" fillId="0" borderId="0" xfId="44" applyNumberFormat="1" applyFont="1" applyAlignment="1">
      <alignment/>
    </xf>
    <xf numFmtId="189" fontId="6" fillId="0" borderId="0" xfId="44" applyNumberFormat="1" applyFont="1" applyAlignment="1">
      <alignment/>
    </xf>
    <xf numFmtId="0" fontId="6" fillId="0" borderId="0" xfId="0" applyFont="1" applyAlignment="1">
      <alignment/>
    </xf>
    <xf numFmtId="0" fontId="9" fillId="14" borderId="0" xfId="0" applyFont="1" applyFill="1" applyAlignment="1" applyProtection="1">
      <alignment/>
      <protection hidden="1"/>
    </xf>
    <xf numFmtId="0" fontId="9" fillId="14" borderId="0" xfId="0" applyFont="1" applyFill="1" applyAlignment="1" applyProtection="1">
      <alignment/>
      <protection hidden="1"/>
    </xf>
    <xf numFmtId="2" fontId="0" fillId="0" borderId="0" xfId="0" applyNumberFormat="1" applyFont="1" applyBorder="1" applyAlignment="1" quotePrefix="1">
      <alignment/>
    </xf>
    <xf numFmtId="180" fontId="0" fillId="0" borderId="0" xfId="0" applyNumberFormat="1" applyFont="1" applyBorder="1" applyAlignment="1" quotePrefix="1">
      <alignment/>
    </xf>
    <xf numFmtId="182" fontId="0" fillId="0" borderId="0" xfId="0" applyNumberFormat="1" applyFont="1" applyBorder="1" applyAlignment="1" quotePrefix="1">
      <alignment/>
    </xf>
    <xf numFmtId="182" fontId="0" fillId="0" borderId="57" xfId="0" applyNumberFormat="1" applyBorder="1" applyAlignment="1">
      <alignment/>
    </xf>
    <xf numFmtId="182" fontId="0" fillId="0" borderId="27" xfId="0" applyNumberFormat="1" applyBorder="1" applyAlignment="1">
      <alignment/>
    </xf>
    <xf numFmtId="182" fontId="0" fillId="0" borderId="68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42" xfId="0" applyNumberFormat="1" applyBorder="1" applyAlignment="1">
      <alignment/>
    </xf>
    <xf numFmtId="182" fontId="0" fillId="0" borderId="15" xfId="0" applyNumberFormat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24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88"/>
    </xf>
    <xf numFmtId="0" fontId="0" fillId="0" borderId="65" xfId="0" applyBorder="1" applyAlignment="1">
      <alignment horizontal="center" vertical="center" textRotation="88"/>
    </xf>
    <xf numFmtId="0" fontId="0" fillId="0" borderId="30" xfId="0" applyBorder="1" applyAlignment="1">
      <alignment horizontal="center" vertical="center" textRotation="88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Font="1" applyBorder="1" applyAlignment="1">
      <alignment horizontal="center" vertical="center" textRotation="90"/>
    </xf>
    <xf numFmtId="0" fontId="26" fillId="0" borderId="67" xfId="0" applyFont="1" applyBorder="1" applyAlignment="1">
      <alignment horizontal="right"/>
    </xf>
    <xf numFmtId="202" fontId="0" fillId="0" borderId="0" xfId="0" applyNumberFormat="1" applyFont="1" applyAlignment="1">
      <alignment/>
    </xf>
    <xf numFmtId="20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EA%205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AW"/>
      <sheetName val="CNTNR COST"/>
      <sheetName val="DETAIL"/>
      <sheetName val="SCHEDULES"/>
      <sheetName val="CHANGE DOCUMENTAION "/>
    </sheetNames>
    <sheetDataSet>
      <sheetData sheetId="0">
        <row r="59">
          <cell r="B59">
            <v>0.025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4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9.00390625" style="124" customWidth="1"/>
    <col min="2" max="2" width="18.00390625" style="124" customWidth="1"/>
    <col min="3" max="3" width="3.421875" style="124" customWidth="1"/>
    <col min="4" max="4" width="10.421875" style="125" customWidth="1"/>
    <col min="5" max="5" width="13.8515625" style="125" customWidth="1"/>
    <col min="6" max="6" width="9.140625" style="125" customWidth="1"/>
    <col min="7" max="7" width="11.28125" style="125" customWidth="1"/>
    <col min="8" max="8" width="9.28125" style="124" bestFit="1" customWidth="1"/>
    <col min="9" max="16384" width="9.140625" style="124" customWidth="1"/>
  </cols>
  <sheetData>
    <row r="1" spans="1:9" ht="18.75" thickBot="1">
      <c r="A1" s="93" t="s">
        <v>0</v>
      </c>
      <c r="B1" s="1"/>
      <c r="I1" s="125"/>
    </row>
    <row r="2" spans="1:9" ht="19.5" thickBot="1">
      <c r="A2" s="200" t="s">
        <v>189</v>
      </c>
      <c r="B2" s="96" t="s">
        <v>1</v>
      </c>
      <c r="C2" s="126"/>
      <c r="D2" s="127"/>
      <c r="E2" s="127"/>
      <c r="F2" s="97"/>
      <c r="G2" s="128"/>
      <c r="H2" s="129"/>
      <c r="I2" s="125"/>
    </row>
    <row r="3" spans="1:9" ht="15">
      <c r="A3" s="184"/>
      <c r="B3" s="134"/>
      <c r="C3" s="95" t="s">
        <v>2</v>
      </c>
      <c r="D3" s="91" t="s">
        <v>3</v>
      </c>
      <c r="I3" s="125"/>
    </row>
    <row r="4" spans="1:9" ht="15">
      <c r="A4" s="1"/>
      <c r="B4" s="130"/>
      <c r="C4" s="95"/>
      <c r="D4" s="91"/>
      <c r="E4" s="1"/>
      <c r="I4" s="91"/>
    </row>
    <row r="5" spans="1:9" ht="15.75">
      <c r="A5" s="2"/>
      <c r="B5" s="130"/>
      <c r="C5" s="95"/>
      <c r="D5" s="94" t="s">
        <v>4</v>
      </c>
      <c r="E5" s="94"/>
      <c r="F5" s="94"/>
      <c r="G5" s="94"/>
      <c r="I5" s="91"/>
    </row>
    <row r="6" spans="1:9" ht="15.75">
      <c r="A6" s="1"/>
      <c r="B6" s="130"/>
      <c r="C6" s="95"/>
      <c r="D6" s="94" t="s">
        <v>5</v>
      </c>
      <c r="E6" s="94"/>
      <c r="F6" s="94"/>
      <c r="G6" s="94"/>
      <c r="H6" s="130"/>
      <c r="I6" s="91"/>
    </row>
    <row r="7" spans="1:9" ht="15.75">
      <c r="A7" s="1"/>
      <c r="B7" s="2"/>
      <c r="C7" s="95"/>
      <c r="D7" s="94" t="s">
        <v>6</v>
      </c>
      <c r="E7" s="94"/>
      <c r="F7" s="94"/>
      <c r="G7" s="94"/>
      <c r="H7" s="94"/>
      <c r="I7" s="91"/>
    </row>
    <row r="8" spans="1:9" ht="15">
      <c r="A8" s="1"/>
      <c r="B8" s="3"/>
      <c r="C8" s="95"/>
      <c r="D8" s="91"/>
      <c r="I8" s="91"/>
    </row>
    <row r="9" spans="1:9" ht="15">
      <c r="A9" s="139" t="s">
        <v>130</v>
      </c>
      <c r="B9" s="203"/>
      <c r="C9" s="95" t="s">
        <v>2</v>
      </c>
      <c r="D9" s="91" t="s">
        <v>7</v>
      </c>
      <c r="E9" s="105"/>
      <c r="F9" s="105"/>
      <c r="G9" s="105"/>
      <c r="H9" s="204"/>
      <c r="I9" s="204"/>
    </row>
    <row r="10" spans="1:9" ht="15">
      <c r="A10" s="139" t="s">
        <v>131</v>
      </c>
      <c r="B10" s="205"/>
      <c r="C10" s="95" t="s">
        <v>2</v>
      </c>
      <c r="D10" s="91" t="s">
        <v>8</v>
      </c>
      <c r="E10" s="105"/>
      <c r="F10" s="105"/>
      <c r="G10" s="105"/>
      <c r="H10" s="204"/>
      <c r="I10" s="204"/>
    </row>
    <row r="11" spans="1:9" ht="15">
      <c r="A11" s="105" t="s">
        <v>132</v>
      </c>
      <c r="B11" s="203"/>
      <c r="C11" s="95" t="s">
        <v>2</v>
      </c>
      <c r="D11" s="91" t="s">
        <v>7</v>
      </c>
      <c r="E11" s="105"/>
      <c r="F11" s="105"/>
      <c r="G11" s="105"/>
      <c r="H11" s="131"/>
      <c r="I11" s="204"/>
    </row>
    <row r="12" spans="1:9" ht="15">
      <c r="A12" s="105" t="s">
        <v>133</v>
      </c>
      <c r="B12" s="205"/>
      <c r="C12" s="95" t="s">
        <v>2</v>
      </c>
      <c r="D12" s="91" t="s">
        <v>8</v>
      </c>
      <c r="E12" s="206"/>
      <c r="F12" s="105"/>
      <c r="G12" s="105"/>
      <c r="H12" s="92"/>
      <c r="I12" s="204"/>
    </row>
    <row r="15" spans="1:9" ht="15">
      <c r="A15" s="105" t="s">
        <v>166</v>
      </c>
      <c r="B15" s="207"/>
      <c r="C15" s="95" t="s">
        <v>2</v>
      </c>
      <c r="D15" s="91" t="s">
        <v>167</v>
      </c>
      <c r="E15" s="206"/>
      <c r="F15" s="105"/>
      <c r="G15" s="105"/>
      <c r="H15" s="92"/>
      <c r="I15" s="204"/>
    </row>
    <row r="16" spans="1:9" ht="15">
      <c r="A16" s="201"/>
      <c r="B16" s="91"/>
      <c r="C16" s="95"/>
      <c r="D16" s="91"/>
      <c r="E16" s="206"/>
      <c r="F16" s="105"/>
      <c r="G16" s="105"/>
      <c r="H16" s="131"/>
      <c r="I16" s="204"/>
    </row>
    <row r="17" spans="1:9" ht="15">
      <c r="A17" s="105" t="s">
        <v>9</v>
      </c>
      <c r="B17" s="208"/>
      <c r="C17" s="95" t="s">
        <v>2</v>
      </c>
      <c r="D17" s="91" t="s">
        <v>7</v>
      </c>
      <c r="E17" s="105"/>
      <c r="F17" s="105"/>
      <c r="G17" s="105"/>
      <c r="H17" s="204"/>
      <c r="I17" s="204"/>
    </row>
    <row r="18" spans="1:9" ht="15">
      <c r="A18" s="105"/>
      <c r="B18" s="204"/>
      <c r="C18" s="95"/>
      <c r="D18" s="91"/>
      <c r="E18" s="105"/>
      <c r="F18" s="105"/>
      <c r="G18" s="105"/>
      <c r="H18" s="204"/>
      <c r="I18" s="204"/>
    </row>
    <row r="19" spans="1:9" ht="15">
      <c r="A19" s="105" t="s">
        <v>10</v>
      </c>
      <c r="B19" s="209"/>
      <c r="C19" s="95"/>
      <c r="D19" s="105"/>
      <c r="E19" s="105"/>
      <c r="F19" s="105"/>
      <c r="G19" s="105"/>
      <c r="H19" s="204"/>
      <c r="I19" s="204"/>
    </row>
    <row r="20" spans="1:9" ht="15">
      <c r="A20" s="105"/>
      <c r="B20" s="204"/>
      <c r="C20" s="139"/>
      <c r="D20" s="105"/>
      <c r="E20" s="105"/>
      <c r="F20" s="105"/>
      <c r="G20" s="105"/>
      <c r="H20" s="204"/>
      <c r="I20" s="204"/>
    </row>
    <row r="21" spans="1:10" ht="15.75">
      <c r="A21" s="202" t="s">
        <v>170</v>
      </c>
      <c r="B21" s="210"/>
      <c r="C21" s="158"/>
      <c r="D21" s="211"/>
      <c r="E21" s="211"/>
      <c r="F21" s="211"/>
      <c r="G21" s="211"/>
      <c r="H21" s="210"/>
      <c r="I21" s="210"/>
      <c r="J21" s="159"/>
    </row>
    <row r="22" spans="1:10" ht="15">
      <c r="A22" s="187" t="s">
        <v>13</v>
      </c>
      <c r="B22" s="189"/>
      <c r="C22" s="158"/>
      <c r="D22" s="211"/>
      <c r="E22" s="211"/>
      <c r="F22" s="211"/>
      <c r="G22" s="211"/>
      <c r="H22" s="210"/>
      <c r="I22" s="210"/>
      <c r="J22" s="159"/>
    </row>
    <row r="23" spans="1:10" ht="15">
      <c r="A23" s="187" t="s">
        <v>14</v>
      </c>
      <c r="B23" s="190"/>
      <c r="C23" s="158"/>
      <c r="D23" s="211"/>
      <c r="E23" s="211"/>
      <c r="F23" s="211"/>
      <c r="G23" s="211"/>
      <c r="H23" s="210"/>
      <c r="I23" s="210"/>
      <c r="J23" s="159"/>
    </row>
    <row r="24" spans="1:10" ht="15">
      <c r="A24" s="187" t="s">
        <v>15</v>
      </c>
      <c r="B24" s="190"/>
      <c r="C24" s="158"/>
      <c r="D24" s="211"/>
      <c r="E24" s="211"/>
      <c r="F24" s="211"/>
      <c r="G24" s="211"/>
      <c r="H24" s="210"/>
      <c r="I24" s="210"/>
      <c r="J24" s="159"/>
    </row>
    <row r="25" spans="1:10" ht="15">
      <c r="A25" s="187" t="s">
        <v>16</v>
      </c>
      <c r="B25" s="190"/>
      <c r="C25" s="158"/>
      <c r="D25" s="211"/>
      <c r="E25" s="211"/>
      <c r="F25" s="211"/>
      <c r="G25" s="211"/>
      <c r="H25" s="210"/>
      <c r="I25" s="210"/>
      <c r="J25" s="159"/>
    </row>
    <row r="26" spans="1:10" ht="15" hidden="1">
      <c r="A26" s="187" t="s">
        <v>152</v>
      </c>
      <c r="B26" s="190">
        <v>0.0361</v>
      </c>
      <c r="C26" s="158"/>
      <c r="D26" s="247"/>
      <c r="E26" s="211"/>
      <c r="F26" s="211"/>
      <c r="G26" s="211"/>
      <c r="H26" s="210"/>
      <c r="I26" s="210"/>
      <c r="J26" s="159"/>
    </row>
    <row r="27" spans="1:10" ht="15" hidden="1">
      <c r="A27" s="187" t="s">
        <v>151</v>
      </c>
      <c r="B27" s="190">
        <v>0.0301</v>
      </c>
      <c r="C27" s="158"/>
      <c r="D27" s="247"/>
      <c r="E27" s="211"/>
      <c r="F27" s="211"/>
      <c r="G27" s="105"/>
      <c r="H27" s="210"/>
      <c r="I27" s="210"/>
      <c r="J27" s="159"/>
    </row>
    <row r="28" spans="1:10" ht="15">
      <c r="A28" s="187" t="s">
        <v>171</v>
      </c>
      <c r="B28" s="190"/>
      <c r="C28" s="158"/>
      <c r="D28" s="211"/>
      <c r="E28" s="211"/>
      <c r="F28" s="211"/>
      <c r="G28" s="211"/>
      <c r="H28" s="210"/>
      <c r="I28" s="210"/>
      <c r="J28" s="159"/>
    </row>
    <row r="29" spans="1:10" ht="15">
      <c r="A29" s="187" t="s">
        <v>172</v>
      </c>
      <c r="B29" s="191"/>
      <c r="C29" s="158"/>
      <c r="D29" s="212">
        <f>IF(ROUND(B29,2)&gt;B29,ROUND(B29,2),ROUND(B29+0.01,2))</f>
        <v>0.01</v>
      </c>
      <c r="E29" s="211"/>
      <c r="F29" s="211"/>
      <c r="G29" s="211"/>
      <c r="H29" s="210"/>
      <c r="I29" s="210"/>
      <c r="J29" s="159"/>
    </row>
    <row r="30" spans="1:10" ht="15" hidden="1">
      <c r="A30" s="187" t="s">
        <v>17</v>
      </c>
      <c r="B30" s="190">
        <v>0.0205</v>
      </c>
      <c r="C30" s="158"/>
      <c r="D30" s="248"/>
      <c r="E30" s="133"/>
      <c r="F30" s="133"/>
      <c r="G30" s="133"/>
      <c r="H30" s="132"/>
      <c r="I30" s="132"/>
      <c r="J30" s="159"/>
    </row>
    <row r="31" spans="1:10" ht="15" hidden="1">
      <c r="A31" s="187" t="s">
        <v>18</v>
      </c>
      <c r="B31" s="191">
        <v>0.0538</v>
      </c>
      <c r="C31" s="158"/>
      <c r="D31" s="248"/>
      <c r="E31" s="133"/>
      <c r="F31" s="133"/>
      <c r="G31" s="133"/>
      <c r="H31" s="132"/>
      <c r="I31" s="132"/>
      <c r="J31" s="159"/>
    </row>
    <row r="32" spans="2:10" ht="15">
      <c r="B32" s="188"/>
      <c r="C32" s="194"/>
      <c r="D32" s="195"/>
      <c r="E32" s="195"/>
      <c r="F32" s="133"/>
      <c r="G32" s="133"/>
      <c r="H32" s="132"/>
      <c r="I32" s="132"/>
      <c r="J32" s="159"/>
    </row>
    <row r="33" spans="1:10" ht="15.75">
      <c r="A33" s="213" t="s">
        <v>176</v>
      </c>
      <c r="B33" s="214"/>
      <c r="C33" s="194"/>
      <c r="D33" s="195"/>
      <c r="E33" s="195"/>
      <c r="F33" s="195"/>
      <c r="G33" s="195"/>
      <c r="H33" s="196"/>
      <c r="I33" s="132"/>
      <c r="J33" s="159"/>
    </row>
    <row r="34" spans="1:9" ht="15">
      <c r="A34" s="105" t="s">
        <v>174</v>
      </c>
      <c r="B34" s="205"/>
      <c r="C34" s="95" t="s">
        <v>2</v>
      </c>
      <c r="D34" s="91" t="s">
        <v>8</v>
      </c>
      <c r="E34" s="206"/>
      <c r="F34" s="105"/>
      <c r="G34" s="105"/>
      <c r="H34" s="92"/>
      <c r="I34" s="204"/>
    </row>
    <row r="35" spans="1:9" ht="15">
      <c r="A35" s="105" t="s">
        <v>175</v>
      </c>
      <c r="B35" s="205"/>
      <c r="C35" s="95" t="s">
        <v>2</v>
      </c>
      <c r="D35" s="91" t="s">
        <v>8</v>
      </c>
      <c r="E35" s="206"/>
      <c r="F35" s="105"/>
      <c r="G35" s="105"/>
      <c r="H35" s="92"/>
      <c r="I35" s="204"/>
    </row>
    <row r="36" spans="1:10" ht="15">
      <c r="A36" s="105" t="s">
        <v>183</v>
      </c>
      <c r="B36" s="205"/>
      <c r="C36" s="95" t="s">
        <v>2</v>
      </c>
      <c r="D36" s="91" t="s">
        <v>8</v>
      </c>
      <c r="E36" s="195"/>
      <c r="F36" s="195"/>
      <c r="G36" s="195"/>
      <c r="H36" s="196"/>
      <c r="I36" s="132"/>
      <c r="J36" s="159"/>
    </row>
    <row r="37" spans="1:13" ht="15">
      <c r="A37" s="215"/>
      <c r="B37" s="216"/>
      <c r="C37" s="217"/>
      <c r="D37" s="218"/>
      <c r="E37" s="218"/>
      <c r="F37" s="218"/>
      <c r="G37" s="218"/>
      <c r="H37" s="217"/>
      <c r="I37" s="196"/>
      <c r="J37" s="239"/>
      <c r="K37" s="258"/>
      <c r="L37" s="258"/>
      <c r="M37" s="258"/>
    </row>
    <row r="38" spans="1:13" ht="15.75">
      <c r="A38" s="219"/>
      <c r="B38" s="220" t="s">
        <v>11</v>
      </c>
      <c r="C38" s="217"/>
      <c r="D38" s="221"/>
      <c r="E38" s="221"/>
      <c r="F38" s="221"/>
      <c r="G38" s="221"/>
      <c r="H38" s="217"/>
      <c r="I38" s="238"/>
      <c r="J38" s="239"/>
      <c r="K38" s="258"/>
      <c r="L38" s="258"/>
      <c r="M38" s="258"/>
    </row>
    <row r="39" spans="1:13" ht="15.75">
      <c r="A39" s="222" t="s">
        <v>12</v>
      </c>
      <c r="B39" s="223">
        <v>0.3478</v>
      </c>
      <c r="C39" s="218"/>
      <c r="D39" s="218"/>
      <c r="E39" s="218"/>
      <c r="F39" s="221"/>
      <c r="G39" s="221"/>
      <c r="H39" s="218"/>
      <c r="I39" s="196"/>
      <c r="J39" s="239"/>
      <c r="K39" s="258"/>
      <c r="L39" s="258"/>
      <c r="M39" s="258"/>
    </row>
    <row r="40" spans="1:13" ht="15.75">
      <c r="A40" s="224"/>
      <c r="B40" s="223"/>
      <c r="C40" s="218"/>
      <c r="D40" s="221"/>
      <c r="E40" s="221"/>
      <c r="F40" s="221"/>
      <c r="G40" s="221"/>
      <c r="H40" s="218"/>
      <c r="I40" s="196"/>
      <c r="J40" s="239"/>
      <c r="K40" s="258"/>
      <c r="L40" s="258"/>
      <c r="M40" s="258"/>
    </row>
    <row r="41" spans="1:15" ht="15">
      <c r="A41" s="225"/>
      <c r="B41" s="199"/>
      <c r="C41" s="218"/>
      <c r="D41" s="218"/>
      <c r="E41" s="218"/>
      <c r="F41" s="218"/>
      <c r="G41" s="218"/>
      <c r="H41" s="218"/>
      <c r="I41" s="196"/>
      <c r="J41" s="237"/>
      <c r="K41" s="236"/>
      <c r="L41" s="236"/>
      <c r="M41" s="236"/>
      <c r="N41" s="136"/>
      <c r="O41" s="136"/>
    </row>
    <row r="42" spans="1:15" ht="15.75">
      <c r="A42" s="226" t="s">
        <v>129</v>
      </c>
      <c r="B42" s="199">
        <v>-0.0002</v>
      </c>
      <c r="C42" s="218"/>
      <c r="D42" s="218"/>
      <c r="E42" s="218"/>
      <c r="F42" s="218"/>
      <c r="G42" s="218"/>
      <c r="H42" s="218"/>
      <c r="I42" s="196"/>
      <c r="J42" s="237"/>
      <c r="K42" s="236"/>
      <c r="L42" s="236"/>
      <c r="M42" s="236"/>
      <c r="N42" s="136"/>
      <c r="O42" s="136"/>
    </row>
    <row r="43" spans="1:15" ht="15.75">
      <c r="A43" s="226"/>
      <c r="B43" s="199"/>
      <c r="C43" s="218"/>
      <c r="D43" s="218"/>
      <c r="E43" s="218"/>
      <c r="F43" s="218"/>
      <c r="G43" s="218"/>
      <c r="H43" s="218"/>
      <c r="I43" s="196"/>
      <c r="J43" s="237"/>
      <c r="K43" s="236"/>
      <c r="L43" s="236"/>
      <c r="M43" s="236"/>
      <c r="N43" s="136"/>
      <c r="O43" s="136"/>
    </row>
    <row r="44" spans="1:15" ht="15.75">
      <c r="A44" s="226" t="s">
        <v>149</v>
      </c>
      <c r="B44" s="199">
        <v>0</v>
      </c>
      <c r="C44" s="218"/>
      <c r="D44" s="218"/>
      <c r="E44" s="218"/>
      <c r="F44" s="218"/>
      <c r="G44" s="218"/>
      <c r="H44" s="218"/>
      <c r="I44" s="196"/>
      <c r="J44" s="237"/>
      <c r="K44" s="236"/>
      <c r="L44" s="236"/>
      <c r="M44" s="236"/>
      <c r="N44" s="136"/>
      <c r="O44" s="136"/>
    </row>
    <row r="45" spans="1:15" ht="15">
      <c r="A45" s="225"/>
      <c r="B45" s="225"/>
      <c r="C45" s="218"/>
      <c r="D45" s="218"/>
      <c r="E45" s="218"/>
      <c r="F45" s="218"/>
      <c r="G45" s="218"/>
      <c r="H45" s="218"/>
      <c r="I45" s="196"/>
      <c r="J45" s="237"/>
      <c r="K45" s="236"/>
      <c r="L45" s="236"/>
      <c r="M45" s="236"/>
      <c r="N45" s="136"/>
      <c r="O45" s="136"/>
    </row>
    <row r="46" spans="1:15" ht="15.75">
      <c r="A46" s="226" t="s">
        <v>19</v>
      </c>
      <c r="B46" s="225"/>
      <c r="C46" s="218"/>
      <c r="D46" s="218"/>
      <c r="E46" s="218"/>
      <c r="F46" s="218"/>
      <c r="G46" s="218"/>
      <c r="H46" s="218"/>
      <c r="I46" s="196"/>
      <c r="J46" s="237"/>
      <c r="K46" s="236"/>
      <c r="L46" s="236"/>
      <c r="M46" s="236"/>
      <c r="N46" s="136"/>
      <c r="O46" s="136"/>
    </row>
    <row r="47" spans="1:15" ht="15">
      <c r="A47" s="225"/>
      <c r="B47" s="225"/>
      <c r="C47" s="218"/>
      <c r="D47" s="218"/>
      <c r="E47" s="218"/>
      <c r="F47" s="218"/>
      <c r="G47" s="218"/>
      <c r="H47" s="218"/>
      <c r="I47" s="196"/>
      <c r="J47" s="237"/>
      <c r="K47" s="236"/>
      <c r="L47" s="236"/>
      <c r="M47" s="236"/>
      <c r="N47" s="136"/>
      <c r="O47" s="136"/>
    </row>
    <row r="48" spans="1:15" ht="15">
      <c r="A48" s="225" t="s">
        <v>20</v>
      </c>
      <c r="B48" s="218">
        <v>0</v>
      </c>
      <c r="C48" s="218"/>
      <c r="D48" s="227"/>
      <c r="E48" s="218"/>
      <c r="F48" s="218"/>
      <c r="G48" s="218"/>
      <c r="H48" s="218"/>
      <c r="I48" s="196"/>
      <c r="J48" s="237"/>
      <c r="K48" s="236"/>
      <c r="L48" s="236"/>
      <c r="M48" s="236"/>
      <c r="N48" s="136"/>
      <c r="O48" s="136"/>
    </row>
    <row r="49" spans="1:15" ht="15">
      <c r="A49" s="225" t="s">
        <v>21</v>
      </c>
      <c r="B49" s="218">
        <v>0.0002</v>
      </c>
      <c r="C49" s="218"/>
      <c r="D49" s="227"/>
      <c r="E49" s="218"/>
      <c r="F49" s="218"/>
      <c r="G49" s="218"/>
      <c r="H49" s="218"/>
      <c r="I49" s="196"/>
      <c r="J49" s="237"/>
      <c r="K49" s="236"/>
      <c r="L49" s="236"/>
      <c r="M49" s="236"/>
      <c r="N49" s="136"/>
      <c r="O49" s="136"/>
    </row>
    <row r="50" spans="1:15" ht="15">
      <c r="A50" s="225" t="s">
        <v>22</v>
      </c>
      <c r="B50" s="218">
        <v>0.0002</v>
      </c>
      <c r="C50" s="198"/>
      <c r="D50" s="227"/>
      <c r="E50" s="218"/>
      <c r="F50" s="218"/>
      <c r="G50" s="218"/>
      <c r="H50" s="218"/>
      <c r="I50" s="196"/>
      <c r="J50" s="237"/>
      <c r="K50" s="236"/>
      <c r="L50" s="236"/>
      <c r="M50" s="236"/>
      <c r="N50" s="136"/>
      <c r="O50" s="136"/>
    </row>
    <row r="51" spans="1:15" ht="15">
      <c r="A51" s="225" t="s">
        <v>23</v>
      </c>
      <c r="B51" s="218">
        <v>0.0006</v>
      </c>
      <c r="C51" s="198"/>
      <c r="D51" s="227"/>
      <c r="E51" s="218"/>
      <c r="F51" s="218"/>
      <c r="G51" s="218"/>
      <c r="H51" s="218"/>
      <c r="I51" s="196"/>
      <c r="J51" s="237"/>
      <c r="K51" s="236"/>
      <c r="L51" s="236"/>
      <c r="M51" s="236"/>
      <c r="N51" s="136"/>
      <c r="O51" s="136"/>
    </row>
    <row r="52" spans="1:15" ht="15">
      <c r="A52" s="225" t="s">
        <v>24</v>
      </c>
      <c r="B52" s="227">
        <f>B34</f>
        <v>0</v>
      </c>
      <c r="C52" s="234"/>
      <c r="D52" s="227"/>
      <c r="E52" s="227"/>
      <c r="F52" s="218"/>
      <c r="G52" s="218"/>
      <c r="H52" s="218"/>
      <c r="I52" s="196"/>
      <c r="J52" s="237"/>
      <c r="K52" s="236"/>
      <c r="L52" s="236"/>
      <c r="M52" s="236"/>
      <c r="N52" s="136"/>
      <c r="O52" s="136"/>
    </row>
    <row r="53" spans="1:15" ht="15">
      <c r="A53" s="225" t="s">
        <v>25</v>
      </c>
      <c r="B53" s="227">
        <f>B35</f>
        <v>0</v>
      </c>
      <c r="C53" s="198"/>
      <c r="D53" s="227"/>
      <c r="E53" s="227"/>
      <c r="F53" s="218"/>
      <c r="G53" s="218"/>
      <c r="H53" s="218"/>
      <c r="I53" s="196"/>
      <c r="J53" s="237"/>
      <c r="K53" s="236"/>
      <c r="L53" s="236"/>
      <c r="M53" s="236"/>
      <c r="N53" s="136"/>
      <c r="O53" s="136"/>
    </row>
    <row r="54" spans="1:15" ht="15">
      <c r="A54" s="225" t="s">
        <v>178</v>
      </c>
      <c r="B54" s="227">
        <f>B36</f>
        <v>0</v>
      </c>
      <c r="C54" s="198"/>
      <c r="D54" s="227"/>
      <c r="E54" s="227"/>
      <c r="F54" s="218"/>
      <c r="G54" s="218"/>
      <c r="H54" s="218"/>
      <c r="I54" s="196"/>
      <c r="J54" s="237"/>
      <c r="K54" s="236"/>
      <c r="L54" s="236"/>
      <c r="M54" s="236"/>
      <c r="N54" s="136"/>
      <c r="O54" s="136"/>
    </row>
    <row r="55" spans="1:15" ht="15">
      <c r="A55" s="225" t="s">
        <v>26</v>
      </c>
      <c r="B55" s="227">
        <v>0.0044</v>
      </c>
      <c r="C55" s="198"/>
      <c r="D55" s="227"/>
      <c r="E55" s="227"/>
      <c r="F55" s="218"/>
      <c r="G55" s="218"/>
      <c r="H55" s="218"/>
      <c r="I55" s="196"/>
      <c r="J55" s="237"/>
      <c r="K55" s="236"/>
      <c r="L55" s="236"/>
      <c r="M55" s="236"/>
      <c r="N55" s="136"/>
      <c r="O55" s="136"/>
    </row>
    <row r="56" spans="1:15" ht="15">
      <c r="A56" s="225" t="s">
        <v>134</v>
      </c>
      <c r="B56" s="227">
        <v>0.0962</v>
      </c>
      <c r="C56" s="198"/>
      <c r="D56" s="227"/>
      <c r="E56" s="227"/>
      <c r="F56" s="218"/>
      <c r="G56" s="218"/>
      <c r="H56" s="218"/>
      <c r="I56" s="196"/>
      <c r="J56" s="237"/>
      <c r="K56" s="236"/>
      <c r="L56" s="236"/>
      <c r="M56" s="236"/>
      <c r="N56" s="136"/>
      <c r="O56" s="136"/>
    </row>
    <row r="57" spans="1:15" ht="15">
      <c r="A57" s="225"/>
      <c r="B57" s="225"/>
      <c r="C57" s="198"/>
      <c r="D57" s="218"/>
      <c r="E57" s="218"/>
      <c r="F57" s="218"/>
      <c r="G57" s="218"/>
      <c r="H57" s="218"/>
      <c r="I57" s="196"/>
      <c r="J57" s="237"/>
      <c r="K57" s="236"/>
      <c r="L57" s="236"/>
      <c r="M57" s="236"/>
      <c r="N57" s="136"/>
      <c r="O57" s="136"/>
    </row>
    <row r="58" spans="1:15" ht="15.75">
      <c r="A58" s="226" t="s">
        <v>27</v>
      </c>
      <c r="B58" s="225"/>
      <c r="C58" s="198"/>
      <c r="D58" s="218"/>
      <c r="E58" s="218"/>
      <c r="F58" s="218"/>
      <c r="G58" s="218"/>
      <c r="H58" s="218"/>
      <c r="I58" s="196"/>
      <c r="J58" s="237"/>
      <c r="K58" s="236"/>
      <c r="L58" s="236"/>
      <c r="M58" s="236"/>
      <c r="N58" s="136"/>
      <c r="O58" s="136"/>
    </row>
    <row r="59" spans="1:15" ht="15">
      <c r="A59" s="225"/>
      <c r="B59" s="225"/>
      <c r="C59" s="198"/>
      <c r="D59" s="218"/>
      <c r="E59" s="218"/>
      <c r="F59" s="218"/>
      <c r="G59" s="218"/>
      <c r="H59" s="218"/>
      <c r="I59" s="196"/>
      <c r="J59" s="237"/>
      <c r="K59" s="236"/>
      <c r="L59" s="236"/>
      <c r="M59" s="236"/>
      <c r="N59" s="136"/>
      <c r="O59" s="136"/>
    </row>
    <row r="60" spans="1:15" ht="15">
      <c r="A60" s="225" t="s">
        <v>28</v>
      </c>
      <c r="B60" s="218">
        <v>0.2013</v>
      </c>
      <c r="C60" s="198"/>
      <c r="D60" s="218"/>
      <c r="E60" s="218"/>
      <c r="F60" s="218"/>
      <c r="G60" s="218"/>
      <c r="H60" s="218"/>
      <c r="I60" s="196"/>
      <c r="J60" s="237"/>
      <c r="K60" s="236"/>
      <c r="L60" s="236"/>
      <c r="M60" s="236"/>
      <c r="N60" s="136"/>
      <c r="O60" s="136"/>
    </row>
    <row r="61" spans="1:15" ht="15">
      <c r="A61" s="225" t="s">
        <v>29</v>
      </c>
      <c r="B61" s="218">
        <v>0.0266</v>
      </c>
      <c r="C61" s="218"/>
      <c r="D61" s="218"/>
      <c r="E61" s="218"/>
      <c r="F61" s="218"/>
      <c r="G61" s="218"/>
      <c r="H61" s="218"/>
      <c r="I61" s="196"/>
      <c r="J61" s="237"/>
      <c r="K61" s="236"/>
      <c r="L61" s="236"/>
      <c r="M61" s="236"/>
      <c r="N61" s="136"/>
      <c r="O61" s="136"/>
    </row>
    <row r="62" spans="1:15" ht="15">
      <c r="A62" s="225" t="s">
        <v>30</v>
      </c>
      <c r="B62" s="218">
        <v>0.202</v>
      </c>
      <c r="C62" s="218"/>
      <c r="D62" s="218"/>
      <c r="E62" s="218"/>
      <c r="F62" s="218"/>
      <c r="G62" s="218"/>
      <c r="H62" s="218"/>
      <c r="I62" s="196"/>
      <c r="J62" s="237"/>
      <c r="K62" s="236"/>
      <c r="L62" s="236"/>
      <c r="M62" s="236"/>
      <c r="N62" s="136"/>
      <c r="O62" s="136"/>
    </row>
    <row r="63" spans="1:15" ht="15">
      <c r="A63" s="225" t="s">
        <v>31</v>
      </c>
      <c r="B63" s="218">
        <v>0.6891</v>
      </c>
      <c r="C63" s="218"/>
      <c r="D63" s="218"/>
      <c r="E63" s="218"/>
      <c r="F63" s="218"/>
      <c r="G63" s="218"/>
      <c r="H63" s="218"/>
      <c r="I63" s="196"/>
      <c r="J63" s="237"/>
      <c r="K63" s="236"/>
      <c r="L63" s="236"/>
      <c r="M63" s="236"/>
      <c r="N63" s="136"/>
      <c r="O63" s="136"/>
    </row>
    <row r="64" spans="1:15" ht="15">
      <c r="A64" s="225"/>
      <c r="B64" s="225"/>
      <c r="C64" s="218"/>
      <c r="D64" s="218"/>
      <c r="E64" s="218"/>
      <c r="F64" s="218"/>
      <c r="G64" s="218"/>
      <c r="H64" s="218"/>
      <c r="I64" s="196"/>
      <c r="J64" s="237"/>
      <c r="K64" s="236"/>
      <c r="L64" s="236"/>
      <c r="M64" s="236"/>
      <c r="N64" s="136"/>
      <c r="O64" s="136"/>
    </row>
    <row r="65" spans="1:15" ht="15.75">
      <c r="A65" s="226" t="s">
        <v>32</v>
      </c>
      <c r="B65" s="228">
        <v>0.035</v>
      </c>
      <c r="C65" s="218"/>
      <c r="D65" s="229"/>
      <c r="E65" s="229"/>
      <c r="F65" s="218"/>
      <c r="G65" s="218"/>
      <c r="H65" s="218"/>
      <c r="I65" s="196"/>
      <c r="J65" s="237"/>
      <c r="K65" s="236"/>
      <c r="L65" s="236"/>
      <c r="M65" s="236"/>
      <c r="N65" s="136"/>
      <c r="O65" s="136"/>
    </row>
    <row r="66" spans="1:15" ht="15">
      <c r="A66" s="225"/>
      <c r="B66" s="225"/>
      <c r="C66" s="218"/>
      <c r="D66" s="218"/>
      <c r="E66" s="218"/>
      <c r="F66" s="218"/>
      <c r="G66" s="218"/>
      <c r="H66" s="218"/>
      <c r="I66" s="196"/>
      <c r="J66" s="237"/>
      <c r="K66" s="236"/>
      <c r="L66" s="236"/>
      <c r="M66" s="236"/>
      <c r="N66" s="136"/>
      <c r="O66" s="136"/>
    </row>
    <row r="67" spans="1:15" ht="15.75">
      <c r="A67" s="221" t="s">
        <v>156</v>
      </c>
      <c r="B67" s="218"/>
      <c r="C67" s="218"/>
      <c r="D67" s="218"/>
      <c r="E67" s="218"/>
      <c r="F67" s="218"/>
      <c r="G67" s="218"/>
      <c r="H67" s="218"/>
      <c r="I67" s="196"/>
      <c r="J67" s="237"/>
      <c r="K67" s="236"/>
      <c r="L67" s="236"/>
      <c r="M67" s="236"/>
      <c r="N67" s="136"/>
      <c r="O67" s="136"/>
    </row>
    <row r="68" spans="1:15" ht="15">
      <c r="A68" s="218"/>
      <c r="B68" s="218"/>
      <c r="C68" s="218"/>
      <c r="D68" s="218"/>
      <c r="E68" s="218"/>
      <c r="F68" s="218"/>
      <c r="G68" s="218"/>
      <c r="H68" s="218"/>
      <c r="I68" s="196"/>
      <c r="J68" s="237"/>
      <c r="K68" s="236"/>
      <c r="L68" s="236"/>
      <c r="M68" s="236"/>
      <c r="N68" s="136"/>
      <c r="O68" s="136"/>
    </row>
    <row r="69" spans="1:15" ht="15">
      <c r="A69" s="230" t="s">
        <v>20</v>
      </c>
      <c r="B69" s="218">
        <v>0.0037</v>
      </c>
      <c r="C69" s="218"/>
      <c r="D69" s="231"/>
      <c r="E69" s="218"/>
      <c r="F69" s="218"/>
      <c r="G69" s="218"/>
      <c r="H69" s="218"/>
      <c r="I69" s="196"/>
      <c r="J69" s="237"/>
      <c r="K69" s="236"/>
      <c r="L69" s="236"/>
      <c r="M69" s="236"/>
      <c r="N69" s="136"/>
      <c r="O69" s="136"/>
    </row>
    <row r="70" spans="1:15" ht="15">
      <c r="A70" s="230" t="s">
        <v>43</v>
      </c>
      <c r="B70" s="218">
        <f>B$69</f>
        <v>0.0037</v>
      </c>
      <c r="C70" s="218"/>
      <c r="D70" s="231"/>
      <c r="E70" s="218"/>
      <c r="F70" s="218"/>
      <c r="G70" s="218"/>
      <c r="H70" s="218"/>
      <c r="I70" s="196"/>
      <c r="J70" s="237"/>
      <c r="K70" s="236"/>
      <c r="L70" s="236"/>
      <c r="M70" s="236"/>
      <c r="N70" s="136"/>
      <c r="O70" s="136"/>
    </row>
    <row r="71" spans="1:15" ht="15">
      <c r="A71" s="230" t="s">
        <v>44</v>
      </c>
      <c r="B71" s="218">
        <f aca="true" t="shared" si="0" ref="B71:B76">B$69</f>
        <v>0.0037</v>
      </c>
      <c r="C71" s="218"/>
      <c r="D71" s="231"/>
      <c r="E71" s="218"/>
      <c r="F71" s="218"/>
      <c r="G71" s="218"/>
      <c r="H71" s="218"/>
      <c r="I71" s="196"/>
      <c r="J71" s="237"/>
      <c r="K71" s="236"/>
      <c r="L71" s="236"/>
      <c r="M71" s="236"/>
      <c r="N71" s="136"/>
      <c r="O71" s="136"/>
    </row>
    <row r="72" spans="1:15" ht="15">
      <c r="A72" s="230" t="s">
        <v>45</v>
      </c>
      <c r="B72" s="218">
        <f t="shared" si="0"/>
        <v>0.0037</v>
      </c>
      <c r="C72" s="218"/>
      <c r="D72" s="231"/>
      <c r="E72" s="218"/>
      <c r="F72" s="218"/>
      <c r="G72" s="218"/>
      <c r="H72" s="218"/>
      <c r="I72" s="196"/>
      <c r="J72" s="237"/>
      <c r="K72" s="236"/>
      <c r="L72" s="236"/>
      <c r="M72" s="236"/>
      <c r="N72" s="136"/>
      <c r="O72" s="136"/>
    </row>
    <row r="73" spans="1:15" ht="15">
      <c r="A73" s="230" t="s">
        <v>24</v>
      </c>
      <c r="B73" s="218">
        <f t="shared" si="0"/>
        <v>0.0037</v>
      </c>
      <c r="C73" s="218"/>
      <c r="D73" s="231"/>
      <c r="E73" s="218"/>
      <c r="F73" s="218"/>
      <c r="G73" s="218"/>
      <c r="H73" s="218"/>
      <c r="I73" s="196"/>
      <c r="J73" s="237"/>
      <c r="K73" s="236"/>
      <c r="L73" s="236"/>
      <c r="M73" s="236"/>
      <c r="N73" s="136"/>
      <c r="O73" s="136"/>
    </row>
    <row r="74" spans="1:15" ht="15">
      <c r="A74" s="230" t="s">
        <v>46</v>
      </c>
      <c r="B74" s="218">
        <f t="shared" si="0"/>
        <v>0.0037</v>
      </c>
      <c r="C74" s="218"/>
      <c r="D74" s="231"/>
      <c r="E74" s="218"/>
      <c r="F74" s="218"/>
      <c r="G74" s="218"/>
      <c r="H74" s="218"/>
      <c r="I74" s="196"/>
      <c r="J74" s="237"/>
      <c r="K74" s="236"/>
      <c r="L74" s="236"/>
      <c r="M74" s="236"/>
      <c r="N74" s="136"/>
      <c r="O74" s="136"/>
    </row>
    <row r="75" spans="1:15" ht="15">
      <c r="A75" s="230" t="s">
        <v>26</v>
      </c>
      <c r="B75" s="218">
        <f t="shared" si="0"/>
        <v>0.0037</v>
      </c>
      <c r="C75" s="218"/>
      <c r="D75" s="231"/>
      <c r="E75" s="218"/>
      <c r="F75" s="218"/>
      <c r="G75" s="218"/>
      <c r="H75" s="218"/>
      <c r="I75" s="196"/>
      <c r="J75" s="237"/>
      <c r="K75" s="236"/>
      <c r="L75" s="236"/>
      <c r="M75" s="236"/>
      <c r="N75" s="136"/>
      <c r="O75" s="136"/>
    </row>
    <row r="76" spans="1:15" ht="15">
      <c r="A76" s="230" t="s">
        <v>134</v>
      </c>
      <c r="B76" s="218">
        <f t="shared" si="0"/>
        <v>0.0037</v>
      </c>
      <c r="C76" s="218"/>
      <c r="D76" s="231"/>
      <c r="E76" s="218"/>
      <c r="F76" s="218"/>
      <c r="G76" s="218"/>
      <c r="H76" s="218"/>
      <c r="I76" s="196"/>
      <c r="J76" s="237"/>
      <c r="K76" s="236"/>
      <c r="L76" s="236"/>
      <c r="M76" s="236"/>
      <c r="N76" s="136"/>
      <c r="O76" s="136"/>
    </row>
    <row r="77" spans="1:15" ht="15">
      <c r="A77" s="230"/>
      <c r="B77" s="218"/>
      <c r="C77" s="218"/>
      <c r="D77" s="218"/>
      <c r="E77" s="218"/>
      <c r="F77" s="218"/>
      <c r="G77" s="218"/>
      <c r="H77" s="218"/>
      <c r="I77" s="196"/>
      <c r="J77" s="237"/>
      <c r="K77" s="236"/>
      <c r="L77" s="236"/>
      <c r="M77" s="236"/>
      <c r="N77" s="136"/>
      <c r="O77" s="136"/>
    </row>
    <row r="78" spans="1:15" ht="15">
      <c r="A78" s="230"/>
      <c r="B78" s="218"/>
      <c r="C78" s="218"/>
      <c r="D78" s="218"/>
      <c r="E78" s="218"/>
      <c r="F78" s="218"/>
      <c r="G78" s="218"/>
      <c r="H78" s="218"/>
      <c r="I78" s="196"/>
      <c r="J78" s="237"/>
      <c r="K78" s="236"/>
      <c r="L78" s="236"/>
      <c r="M78" s="236"/>
      <c r="N78" s="136"/>
      <c r="O78" s="136"/>
    </row>
    <row r="79" spans="1:15" ht="15">
      <c r="A79" s="230" t="s">
        <v>157</v>
      </c>
      <c r="B79" s="218">
        <v>0.1295</v>
      </c>
      <c r="C79" s="218"/>
      <c r="D79" s="218" t="s">
        <v>158</v>
      </c>
      <c r="E79" s="218"/>
      <c r="F79" s="218"/>
      <c r="G79" s="218"/>
      <c r="H79" s="218"/>
      <c r="I79" s="196"/>
      <c r="J79" s="237"/>
      <c r="K79" s="236"/>
      <c r="L79" s="236"/>
      <c r="M79" s="236"/>
      <c r="N79" s="136"/>
      <c r="O79" s="136"/>
    </row>
    <row r="80" spans="1:15" ht="15">
      <c r="A80" s="230"/>
      <c r="B80" s="218"/>
      <c r="C80" s="218"/>
      <c r="D80" s="218"/>
      <c r="E80" s="218"/>
      <c r="F80" s="218"/>
      <c r="G80" s="218"/>
      <c r="H80" s="218"/>
      <c r="I80" s="196"/>
      <c r="J80" s="236"/>
      <c r="K80" s="236"/>
      <c r="L80" s="236"/>
      <c r="M80" s="236"/>
      <c r="N80" s="136"/>
      <c r="O80" s="136"/>
    </row>
    <row r="81" spans="1:15" ht="15">
      <c r="A81" s="218" t="s">
        <v>169</v>
      </c>
      <c r="B81" s="218">
        <v>208.49</v>
      </c>
      <c r="C81" s="218"/>
      <c r="D81" s="218"/>
      <c r="E81" s="218"/>
      <c r="F81" s="218"/>
      <c r="G81" s="218"/>
      <c r="H81" s="218"/>
      <c r="I81" s="235"/>
      <c r="J81" s="236"/>
      <c r="K81" s="236"/>
      <c r="L81" s="236"/>
      <c r="M81" s="236"/>
      <c r="N81" s="136"/>
      <c r="O81" s="136"/>
    </row>
    <row r="82" spans="1:15" ht="15">
      <c r="A82" s="218"/>
      <c r="B82" s="218"/>
      <c r="C82" s="218"/>
      <c r="D82" s="218"/>
      <c r="E82" s="218"/>
      <c r="F82" s="218"/>
      <c r="G82" s="218"/>
      <c r="H82" s="218"/>
      <c r="I82" s="235"/>
      <c r="J82" s="236"/>
      <c r="K82" s="236"/>
      <c r="L82" s="236"/>
      <c r="M82" s="236"/>
      <c r="N82" s="136"/>
      <c r="O82" s="136"/>
    </row>
    <row r="83" spans="1:15" ht="15">
      <c r="A83" s="218" t="s">
        <v>164</v>
      </c>
      <c r="B83" s="232">
        <v>0.15</v>
      </c>
      <c r="C83" s="218"/>
      <c r="D83" s="218"/>
      <c r="E83" s="218"/>
      <c r="F83" s="218"/>
      <c r="G83" s="218"/>
      <c r="H83" s="218"/>
      <c r="I83" s="235"/>
      <c r="J83" s="236"/>
      <c r="K83" s="236"/>
      <c r="L83" s="236"/>
      <c r="M83" s="236"/>
      <c r="N83" s="136"/>
      <c r="O83" s="136"/>
    </row>
    <row r="84" spans="1:15" ht="15">
      <c r="A84" s="218" t="s">
        <v>157</v>
      </c>
      <c r="B84" s="218">
        <f>B79</f>
        <v>0.1295</v>
      </c>
      <c r="C84" s="218"/>
      <c r="D84" s="218"/>
      <c r="E84" s="218"/>
      <c r="F84" s="218"/>
      <c r="G84" s="218"/>
      <c r="H84" s="218"/>
      <c r="I84" s="235"/>
      <c r="J84" s="236"/>
      <c r="K84" s="236"/>
      <c r="L84" s="236"/>
      <c r="M84" s="236"/>
      <c r="N84" s="136"/>
      <c r="O84" s="136"/>
    </row>
    <row r="85" spans="1:15" ht="15">
      <c r="A85" s="218" t="s">
        <v>168</v>
      </c>
      <c r="B85" s="227">
        <f>ROUND((((B15-B81)/B81)+1)*B84,4)</f>
        <v>0</v>
      </c>
      <c r="C85" s="218"/>
      <c r="D85" s="218"/>
      <c r="E85" s="218"/>
      <c r="F85" s="218"/>
      <c r="G85" s="218"/>
      <c r="H85" s="218"/>
      <c r="I85" s="235"/>
      <c r="J85" s="236"/>
      <c r="K85" s="236"/>
      <c r="L85" s="236"/>
      <c r="M85" s="236"/>
      <c r="N85" s="136"/>
      <c r="O85" s="136"/>
    </row>
    <row r="86" spans="1:15" ht="15">
      <c r="A86" s="218" t="s">
        <v>165</v>
      </c>
      <c r="B86" s="233">
        <v>0.025</v>
      </c>
      <c r="C86" s="218"/>
      <c r="D86" s="218"/>
      <c r="E86" s="218"/>
      <c r="F86" s="218"/>
      <c r="G86" s="218"/>
      <c r="H86" s="218"/>
      <c r="I86" s="235"/>
      <c r="J86" s="236"/>
      <c r="K86" s="236"/>
      <c r="L86" s="236"/>
      <c r="M86" s="236"/>
      <c r="N86" s="136"/>
      <c r="O86" s="136"/>
    </row>
    <row r="87" spans="1:15" ht="15">
      <c r="A87" s="218"/>
      <c r="B87" s="218"/>
      <c r="C87" s="218"/>
      <c r="D87" s="218"/>
      <c r="E87" s="218"/>
      <c r="F87" s="218"/>
      <c r="G87" s="218"/>
      <c r="H87" s="218"/>
      <c r="I87" s="235"/>
      <c r="J87" s="236"/>
      <c r="K87" s="236"/>
      <c r="L87" s="236"/>
      <c r="M87" s="236"/>
      <c r="N87" s="136"/>
      <c r="O87" s="136"/>
    </row>
    <row r="88" spans="1:15" ht="15">
      <c r="A88" s="198"/>
      <c r="B88" s="198"/>
      <c r="C88" s="198"/>
      <c r="D88" s="198"/>
      <c r="E88" s="198"/>
      <c r="F88" s="198"/>
      <c r="G88" s="198"/>
      <c r="H88" s="197"/>
      <c r="I88" s="235"/>
      <c r="J88" s="236"/>
      <c r="K88" s="236"/>
      <c r="L88" s="236"/>
      <c r="M88" s="236"/>
      <c r="N88" s="136"/>
      <c r="O88" s="136"/>
    </row>
    <row r="89" spans="1:15" ht="15">
      <c r="A89" s="198"/>
      <c r="B89" s="198"/>
      <c r="C89" s="198"/>
      <c r="D89" s="198"/>
      <c r="E89" s="198"/>
      <c r="F89" s="198"/>
      <c r="G89" s="198"/>
      <c r="H89" s="197"/>
      <c r="I89" s="235"/>
      <c r="J89" s="236"/>
      <c r="K89" s="236"/>
      <c r="L89" s="236"/>
      <c r="M89" s="236"/>
      <c r="N89" s="136"/>
      <c r="O89" s="136"/>
    </row>
    <row r="90" spans="1:15" ht="15">
      <c r="A90" s="198"/>
      <c r="B90" s="198"/>
      <c r="C90" s="198"/>
      <c r="D90" s="198"/>
      <c r="E90" s="198"/>
      <c r="F90" s="198"/>
      <c r="G90" s="198"/>
      <c r="H90" s="197"/>
      <c r="I90" s="235"/>
      <c r="J90" s="236"/>
      <c r="K90" s="236"/>
      <c r="L90" s="236"/>
      <c r="M90" s="236"/>
      <c r="N90" s="136"/>
      <c r="O90" s="136"/>
    </row>
    <row r="91" spans="1:15" ht="15">
      <c r="A91" s="198"/>
      <c r="B91" s="198"/>
      <c r="C91" s="198"/>
      <c r="D91" s="198"/>
      <c r="E91" s="198"/>
      <c r="F91" s="198"/>
      <c r="G91" s="198"/>
      <c r="H91" s="197"/>
      <c r="I91" s="235"/>
      <c r="J91" s="236"/>
      <c r="K91" s="236"/>
      <c r="L91" s="236"/>
      <c r="M91" s="236"/>
      <c r="N91" s="136"/>
      <c r="O91" s="136"/>
    </row>
    <row r="92" spans="1:15" ht="15">
      <c r="A92" s="198"/>
      <c r="B92" s="198"/>
      <c r="C92" s="198"/>
      <c r="D92" s="198"/>
      <c r="E92" s="198"/>
      <c r="F92" s="198"/>
      <c r="G92" s="198"/>
      <c r="H92" s="197"/>
      <c r="I92" s="235"/>
      <c r="J92" s="236"/>
      <c r="K92" s="236"/>
      <c r="L92" s="236"/>
      <c r="M92" s="236"/>
      <c r="N92" s="136"/>
      <c r="O92" s="136"/>
    </row>
    <row r="93" spans="1:15" ht="15">
      <c r="A93" s="197"/>
      <c r="B93" s="197"/>
      <c r="C93" s="197"/>
      <c r="D93" s="197"/>
      <c r="E93" s="197"/>
      <c r="F93" s="197"/>
      <c r="G93" s="197"/>
      <c r="H93" s="197"/>
      <c r="I93" s="235"/>
      <c r="J93" s="236"/>
      <c r="K93" s="236"/>
      <c r="L93" s="236"/>
      <c r="M93" s="236"/>
      <c r="N93" s="136"/>
      <c r="O93" s="136"/>
    </row>
    <row r="94" spans="1:15" ht="12.75">
      <c r="A94" s="235"/>
      <c r="B94" s="235"/>
      <c r="C94" s="235"/>
      <c r="D94" s="235"/>
      <c r="E94" s="235"/>
      <c r="F94" s="235"/>
      <c r="G94" s="235"/>
      <c r="H94" s="235"/>
      <c r="I94" s="235"/>
      <c r="J94" s="236"/>
      <c r="K94" s="236"/>
      <c r="L94" s="236"/>
      <c r="M94" s="236"/>
      <c r="N94" s="136"/>
      <c r="O94" s="136"/>
    </row>
    <row r="95" spans="1:15" ht="12.75">
      <c r="A95" s="235"/>
      <c r="B95" s="235"/>
      <c r="C95" s="235"/>
      <c r="D95" s="235"/>
      <c r="E95" s="235"/>
      <c r="F95" s="235"/>
      <c r="G95" s="235"/>
      <c r="H95" s="235"/>
      <c r="I95" s="235"/>
      <c r="J95" s="236"/>
      <c r="K95" s="236"/>
      <c r="L95" s="236"/>
      <c r="M95" s="236"/>
      <c r="N95" s="136"/>
      <c r="O95" s="136"/>
    </row>
    <row r="96" spans="1:15" ht="12.75">
      <c r="A96" s="235"/>
      <c r="B96" s="235"/>
      <c r="C96" s="235"/>
      <c r="D96" s="235"/>
      <c r="E96" s="235"/>
      <c r="F96" s="235"/>
      <c r="G96" s="235"/>
      <c r="H96" s="235"/>
      <c r="I96" s="235"/>
      <c r="J96" s="236"/>
      <c r="K96" s="236"/>
      <c r="L96" s="236"/>
      <c r="M96" s="236"/>
      <c r="N96" s="136"/>
      <c r="O96" s="136"/>
    </row>
    <row r="97" spans="1:15" ht="12.75">
      <c r="A97" s="235"/>
      <c r="B97" s="235"/>
      <c r="C97" s="235"/>
      <c r="D97" s="235"/>
      <c r="E97" s="235"/>
      <c r="F97" s="235"/>
      <c r="G97" s="235"/>
      <c r="H97" s="235"/>
      <c r="I97" s="235"/>
      <c r="J97" s="236"/>
      <c r="K97" s="236"/>
      <c r="L97" s="236"/>
      <c r="M97" s="236"/>
      <c r="N97" s="136"/>
      <c r="O97" s="136"/>
    </row>
    <row r="98" spans="1:15" ht="12.75">
      <c r="A98" s="235"/>
      <c r="B98" s="235"/>
      <c r="C98" s="235"/>
      <c r="D98" s="235"/>
      <c r="E98" s="235"/>
      <c r="F98" s="235"/>
      <c r="G98" s="235"/>
      <c r="H98" s="235"/>
      <c r="I98" s="235"/>
      <c r="J98" s="236"/>
      <c r="K98" s="236"/>
      <c r="L98" s="236"/>
      <c r="M98" s="236"/>
      <c r="N98" s="136"/>
      <c r="O98" s="136"/>
    </row>
    <row r="99" spans="1:15" ht="12.75">
      <c r="A99" s="235"/>
      <c r="B99" s="235"/>
      <c r="C99" s="235"/>
      <c r="D99" s="235"/>
      <c r="E99" s="235"/>
      <c r="F99" s="235"/>
      <c r="G99" s="235"/>
      <c r="H99" s="235"/>
      <c r="I99" s="235"/>
      <c r="J99" s="236"/>
      <c r="K99" s="236"/>
      <c r="L99" s="236"/>
      <c r="M99" s="236"/>
      <c r="N99" s="136"/>
      <c r="O99" s="136"/>
    </row>
    <row r="100" spans="1:15" ht="12.75">
      <c r="A100" s="235"/>
      <c r="B100" s="235"/>
      <c r="C100" s="235"/>
      <c r="D100" s="235"/>
      <c r="E100" s="235"/>
      <c r="F100" s="235"/>
      <c r="G100" s="235"/>
      <c r="H100" s="235"/>
      <c r="I100" s="235"/>
      <c r="J100" s="236"/>
      <c r="K100" s="236"/>
      <c r="L100" s="236"/>
      <c r="M100" s="236"/>
      <c r="N100" s="136"/>
      <c r="O100" s="136"/>
    </row>
    <row r="101" spans="1:15" ht="12.75">
      <c r="A101" s="235"/>
      <c r="B101" s="235"/>
      <c r="C101" s="235"/>
      <c r="D101" s="235"/>
      <c r="E101" s="235"/>
      <c r="F101" s="235"/>
      <c r="G101" s="235"/>
      <c r="H101" s="235"/>
      <c r="I101" s="235"/>
      <c r="J101" s="236"/>
      <c r="K101" s="236"/>
      <c r="L101" s="236"/>
      <c r="M101" s="236"/>
      <c r="N101" s="136"/>
      <c r="O101" s="136"/>
    </row>
    <row r="102" spans="1:15" ht="12.75">
      <c r="A102" s="235"/>
      <c r="B102" s="235"/>
      <c r="C102" s="235"/>
      <c r="D102" s="235"/>
      <c r="E102" s="235"/>
      <c r="F102" s="235"/>
      <c r="G102" s="235"/>
      <c r="H102" s="235"/>
      <c r="I102" s="235"/>
      <c r="J102" s="236"/>
      <c r="K102" s="236"/>
      <c r="L102" s="236"/>
      <c r="M102" s="236"/>
      <c r="N102" s="136"/>
      <c r="O102" s="136"/>
    </row>
    <row r="103" spans="1:15" ht="12.75">
      <c r="A103" s="235"/>
      <c r="B103" s="235"/>
      <c r="C103" s="235"/>
      <c r="D103" s="235"/>
      <c r="E103" s="235"/>
      <c r="F103" s="235"/>
      <c r="G103" s="235"/>
      <c r="H103" s="235"/>
      <c r="I103" s="235"/>
      <c r="J103" s="236"/>
      <c r="K103" s="236"/>
      <c r="L103" s="236"/>
      <c r="M103" s="236"/>
      <c r="N103" s="136"/>
      <c r="O103" s="136"/>
    </row>
    <row r="104" spans="1:15" ht="12.75">
      <c r="A104" s="235"/>
      <c r="B104" s="235"/>
      <c r="C104" s="235"/>
      <c r="D104" s="235"/>
      <c r="E104" s="235"/>
      <c r="F104" s="235"/>
      <c r="G104" s="235"/>
      <c r="H104" s="235"/>
      <c r="I104" s="235"/>
      <c r="J104" s="236"/>
      <c r="K104" s="236"/>
      <c r="L104" s="236"/>
      <c r="M104" s="236"/>
      <c r="N104" s="136"/>
      <c r="O104" s="136"/>
    </row>
    <row r="105" spans="1:15" ht="12.75">
      <c r="A105" s="235"/>
      <c r="B105" s="235"/>
      <c r="C105" s="235"/>
      <c r="D105" s="235"/>
      <c r="E105" s="235"/>
      <c r="F105" s="235"/>
      <c r="G105" s="235"/>
      <c r="H105" s="235"/>
      <c r="I105" s="235"/>
      <c r="J105" s="236"/>
      <c r="K105" s="236"/>
      <c r="L105" s="236"/>
      <c r="M105" s="236"/>
      <c r="N105" s="136"/>
      <c r="O105" s="136"/>
    </row>
    <row r="106" spans="1:15" ht="12.75">
      <c r="A106" s="235"/>
      <c r="B106" s="235"/>
      <c r="C106" s="235"/>
      <c r="D106" s="235"/>
      <c r="E106" s="235"/>
      <c r="F106" s="235"/>
      <c r="G106" s="235"/>
      <c r="H106" s="235"/>
      <c r="I106" s="235"/>
      <c r="J106" s="236"/>
      <c r="K106" s="236"/>
      <c r="L106" s="236"/>
      <c r="M106" s="236"/>
      <c r="N106" s="136"/>
      <c r="O106" s="136"/>
    </row>
    <row r="107" spans="1:15" ht="12.75">
      <c r="A107" s="235"/>
      <c r="B107" s="235"/>
      <c r="C107" s="235"/>
      <c r="D107" s="235"/>
      <c r="E107" s="235"/>
      <c r="F107" s="235"/>
      <c r="G107" s="235"/>
      <c r="H107" s="235"/>
      <c r="I107" s="235"/>
      <c r="J107" s="236"/>
      <c r="K107" s="236"/>
      <c r="L107" s="236"/>
      <c r="M107" s="236"/>
      <c r="N107" s="136"/>
      <c r="O107" s="136"/>
    </row>
    <row r="108" spans="1:15" ht="12.75">
      <c r="A108" s="235"/>
      <c r="B108" s="235"/>
      <c r="C108" s="235"/>
      <c r="D108" s="235"/>
      <c r="E108" s="235"/>
      <c r="F108" s="235"/>
      <c r="G108" s="235"/>
      <c r="H108" s="235"/>
      <c r="I108" s="235"/>
      <c r="J108" s="236"/>
      <c r="K108" s="236"/>
      <c r="L108" s="236"/>
      <c r="M108" s="236"/>
      <c r="N108" s="136"/>
      <c r="O108" s="136"/>
    </row>
    <row r="109" spans="1:15" ht="12.75">
      <c r="A109" s="235"/>
      <c r="B109" s="235"/>
      <c r="C109" s="235"/>
      <c r="D109" s="235"/>
      <c r="E109" s="235"/>
      <c r="F109" s="235"/>
      <c r="G109" s="235"/>
      <c r="H109" s="235"/>
      <c r="I109" s="235"/>
      <c r="J109" s="236"/>
      <c r="K109" s="236"/>
      <c r="L109" s="236"/>
      <c r="M109" s="236"/>
      <c r="N109" s="136"/>
      <c r="O109" s="136"/>
    </row>
    <row r="110" spans="1:15" ht="12.75">
      <c r="A110" s="235"/>
      <c r="B110" s="235"/>
      <c r="C110" s="235"/>
      <c r="D110" s="235"/>
      <c r="E110" s="235"/>
      <c r="F110" s="235"/>
      <c r="G110" s="235"/>
      <c r="H110" s="235"/>
      <c r="I110" s="235"/>
      <c r="J110" s="236"/>
      <c r="K110" s="236"/>
      <c r="L110" s="236"/>
      <c r="M110" s="236"/>
      <c r="N110" s="136"/>
      <c r="O110" s="136"/>
    </row>
    <row r="111" spans="1:15" ht="12.75">
      <c r="A111" s="235"/>
      <c r="B111" s="235"/>
      <c r="C111" s="235"/>
      <c r="D111" s="235"/>
      <c r="E111" s="235"/>
      <c r="F111" s="235"/>
      <c r="G111" s="235"/>
      <c r="H111" s="235"/>
      <c r="I111" s="235"/>
      <c r="J111" s="236"/>
      <c r="K111" s="236"/>
      <c r="L111" s="236"/>
      <c r="M111" s="236"/>
      <c r="N111" s="136"/>
      <c r="O111" s="136"/>
    </row>
    <row r="112" spans="1:15" ht="12.75">
      <c r="A112" s="235"/>
      <c r="B112" s="235"/>
      <c r="C112" s="235"/>
      <c r="D112" s="235"/>
      <c r="E112" s="235"/>
      <c r="F112" s="235"/>
      <c r="G112" s="235"/>
      <c r="H112" s="235"/>
      <c r="I112" s="235"/>
      <c r="J112" s="236"/>
      <c r="K112" s="236"/>
      <c r="L112" s="236"/>
      <c r="M112" s="236"/>
      <c r="N112" s="136"/>
      <c r="O112" s="136"/>
    </row>
    <row r="113" spans="1:15" ht="12.75">
      <c r="A113" s="235"/>
      <c r="B113" s="235"/>
      <c r="C113" s="235"/>
      <c r="D113" s="235"/>
      <c r="E113" s="235"/>
      <c r="F113" s="235"/>
      <c r="G113" s="235"/>
      <c r="H113" s="235"/>
      <c r="I113" s="235"/>
      <c r="J113" s="236"/>
      <c r="K113" s="236"/>
      <c r="L113" s="236"/>
      <c r="M113" s="236"/>
      <c r="N113" s="136"/>
      <c r="O113" s="136"/>
    </row>
    <row r="114" spans="1:15" ht="12.75">
      <c r="A114" s="235"/>
      <c r="B114" s="235"/>
      <c r="C114" s="235"/>
      <c r="D114" s="235"/>
      <c r="E114" s="235"/>
      <c r="F114" s="235"/>
      <c r="G114" s="235"/>
      <c r="H114" s="235"/>
      <c r="I114" s="235"/>
      <c r="J114" s="236"/>
      <c r="K114" s="236"/>
      <c r="L114" s="236"/>
      <c r="M114" s="236"/>
      <c r="N114" s="136"/>
      <c r="O114" s="136"/>
    </row>
    <row r="115" spans="1:15" ht="12.75">
      <c r="A115" s="235"/>
      <c r="B115" s="235"/>
      <c r="C115" s="235"/>
      <c r="D115" s="235"/>
      <c r="E115" s="235"/>
      <c r="F115" s="235"/>
      <c r="G115" s="235"/>
      <c r="H115" s="235"/>
      <c r="I115" s="235"/>
      <c r="J115" s="236"/>
      <c r="K115" s="236"/>
      <c r="L115" s="236"/>
      <c r="M115" s="236"/>
      <c r="N115" s="136"/>
      <c r="O115" s="136"/>
    </row>
    <row r="116" spans="1:15" ht="12.75">
      <c r="A116" s="235"/>
      <c r="B116" s="235"/>
      <c r="C116" s="235"/>
      <c r="D116" s="235"/>
      <c r="E116" s="235"/>
      <c r="F116" s="235"/>
      <c r="G116" s="235"/>
      <c r="H116" s="235"/>
      <c r="I116" s="235"/>
      <c r="J116" s="236"/>
      <c r="K116" s="236"/>
      <c r="L116" s="236"/>
      <c r="M116" s="236"/>
      <c r="N116" s="136"/>
      <c r="O116" s="136"/>
    </row>
    <row r="117" spans="1:15" ht="12.75">
      <c r="A117" s="235"/>
      <c r="B117" s="235"/>
      <c r="C117" s="235"/>
      <c r="D117" s="235"/>
      <c r="E117" s="235"/>
      <c r="F117" s="235"/>
      <c r="G117" s="235"/>
      <c r="H117" s="235"/>
      <c r="I117" s="235"/>
      <c r="J117" s="236"/>
      <c r="K117" s="236"/>
      <c r="L117" s="236"/>
      <c r="M117" s="236"/>
      <c r="N117" s="136"/>
      <c r="O117" s="136"/>
    </row>
    <row r="118" spans="1:15" ht="12.75">
      <c r="A118" s="235"/>
      <c r="B118" s="235"/>
      <c r="C118" s="235"/>
      <c r="D118" s="235"/>
      <c r="E118" s="235"/>
      <c r="F118" s="235"/>
      <c r="G118" s="235"/>
      <c r="H118" s="235"/>
      <c r="I118" s="235"/>
      <c r="J118" s="236"/>
      <c r="K118" s="236"/>
      <c r="L118" s="236"/>
      <c r="M118" s="236"/>
      <c r="N118" s="136"/>
      <c r="O118" s="136"/>
    </row>
    <row r="119" spans="1:15" ht="12.75">
      <c r="A119" s="235"/>
      <c r="B119" s="235"/>
      <c r="C119" s="235"/>
      <c r="D119" s="235"/>
      <c r="E119" s="235"/>
      <c r="F119" s="235"/>
      <c r="G119" s="235"/>
      <c r="H119" s="235"/>
      <c r="I119" s="235"/>
      <c r="J119" s="236"/>
      <c r="K119" s="236"/>
      <c r="L119" s="236"/>
      <c r="M119" s="236"/>
      <c r="N119" s="136"/>
      <c r="O119" s="136"/>
    </row>
    <row r="120" spans="1:15" ht="12.75">
      <c r="A120" s="235"/>
      <c r="B120" s="235"/>
      <c r="C120" s="235"/>
      <c r="D120" s="235"/>
      <c r="E120" s="235"/>
      <c r="F120" s="235"/>
      <c r="G120" s="235"/>
      <c r="H120" s="235"/>
      <c r="I120" s="235"/>
      <c r="J120" s="236"/>
      <c r="K120" s="236"/>
      <c r="L120" s="236"/>
      <c r="M120" s="236"/>
      <c r="N120" s="136"/>
      <c r="O120" s="136"/>
    </row>
    <row r="121" spans="1:15" ht="12.75">
      <c r="A121" s="235"/>
      <c r="B121" s="235"/>
      <c r="C121" s="235"/>
      <c r="D121" s="235"/>
      <c r="E121" s="235"/>
      <c r="F121" s="235"/>
      <c r="G121" s="235"/>
      <c r="H121" s="235"/>
      <c r="I121" s="235"/>
      <c r="J121" s="236"/>
      <c r="K121" s="236"/>
      <c r="L121" s="236"/>
      <c r="M121" s="236"/>
      <c r="N121" s="136"/>
      <c r="O121" s="136"/>
    </row>
    <row r="122" spans="1:15" ht="12.75">
      <c r="A122" s="235"/>
      <c r="B122" s="235"/>
      <c r="C122" s="235"/>
      <c r="D122" s="235"/>
      <c r="E122" s="235"/>
      <c r="F122" s="235"/>
      <c r="G122" s="235"/>
      <c r="H122" s="235"/>
      <c r="I122" s="235"/>
      <c r="J122" s="236"/>
      <c r="K122" s="236"/>
      <c r="L122" s="236"/>
      <c r="M122" s="236"/>
      <c r="N122" s="136"/>
      <c r="O122" s="136"/>
    </row>
    <row r="123" spans="1:15" ht="12.75">
      <c r="A123" s="235"/>
      <c r="B123" s="235"/>
      <c r="C123" s="235"/>
      <c r="D123" s="235"/>
      <c r="E123" s="235"/>
      <c r="F123" s="235"/>
      <c r="G123" s="235"/>
      <c r="H123" s="235"/>
      <c r="I123" s="235"/>
      <c r="J123" s="236"/>
      <c r="K123" s="236"/>
      <c r="L123" s="236"/>
      <c r="M123" s="236"/>
      <c r="N123" s="136"/>
      <c r="O123" s="136"/>
    </row>
    <row r="124" spans="1:15" ht="12.75">
      <c r="A124" s="235"/>
      <c r="B124" s="235"/>
      <c r="C124" s="235"/>
      <c r="D124" s="235"/>
      <c r="E124" s="235"/>
      <c r="F124" s="235"/>
      <c r="G124" s="235"/>
      <c r="H124" s="235"/>
      <c r="I124" s="235"/>
      <c r="J124" s="236"/>
      <c r="K124" s="236"/>
      <c r="L124" s="236"/>
      <c r="M124" s="236"/>
      <c r="N124" s="136"/>
      <c r="O124" s="136"/>
    </row>
    <row r="125" spans="1:15" ht="12.75">
      <c r="A125" s="235"/>
      <c r="B125" s="235"/>
      <c r="C125" s="235"/>
      <c r="D125" s="235"/>
      <c r="E125" s="235"/>
      <c r="F125" s="235"/>
      <c r="G125" s="235"/>
      <c r="H125" s="235"/>
      <c r="I125" s="235"/>
      <c r="J125" s="236"/>
      <c r="K125" s="236"/>
      <c r="L125" s="236"/>
      <c r="M125" s="236"/>
      <c r="N125" s="136"/>
      <c r="O125" s="136"/>
    </row>
    <row r="126" spans="1:15" ht="12.75">
      <c r="A126" s="235"/>
      <c r="B126" s="235"/>
      <c r="C126" s="235"/>
      <c r="D126" s="235"/>
      <c r="E126" s="235"/>
      <c r="F126" s="235"/>
      <c r="G126" s="235"/>
      <c r="H126" s="235"/>
      <c r="I126" s="235"/>
      <c r="J126" s="236"/>
      <c r="K126" s="236"/>
      <c r="L126" s="236"/>
      <c r="M126" s="236"/>
      <c r="N126" s="136"/>
      <c r="O126" s="136"/>
    </row>
    <row r="127" spans="1:15" ht="12.75">
      <c r="A127" s="235"/>
      <c r="B127" s="235"/>
      <c r="C127" s="235"/>
      <c r="D127" s="235"/>
      <c r="E127" s="235"/>
      <c r="F127" s="235"/>
      <c r="G127" s="235"/>
      <c r="H127" s="235"/>
      <c r="I127" s="235"/>
      <c r="J127" s="236"/>
      <c r="K127" s="236"/>
      <c r="L127" s="236"/>
      <c r="M127" s="236"/>
      <c r="N127" s="136"/>
      <c r="O127" s="136"/>
    </row>
    <row r="128" spans="1:15" ht="12.75">
      <c r="A128" s="235"/>
      <c r="B128" s="235"/>
      <c r="C128" s="235"/>
      <c r="D128" s="235"/>
      <c r="E128" s="235"/>
      <c r="F128" s="235"/>
      <c r="G128" s="235"/>
      <c r="H128" s="235"/>
      <c r="I128" s="235"/>
      <c r="J128" s="236"/>
      <c r="K128" s="236"/>
      <c r="L128" s="236"/>
      <c r="M128" s="236"/>
      <c r="N128" s="136"/>
      <c r="O128" s="136"/>
    </row>
    <row r="129" spans="1:15" ht="12.75">
      <c r="A129" s="235"/>
      <c r="B129" s="235"/>
      <c r="C129" s="235"/>
      <c r="D129" s="235"/>
      <c r="E129" s="235"/>
      <c r="F129" s="235"/>
      <c r="G129" s="235"/>
      <c r="H129" s="235"/>
      <c r="I129" s="235"/>
      <c r="J129" s="236"/>
      <c r="K129" s="236"/>
      <c r="L129" s="236"/>
      <c r="M129" s="236"/>
      <c r="N129" s="136"/>
      <c r="O129" s="136"/>
    </row>
    <row r="130" spans="1:15" ht="12.75">
      <c r="A130" s="235"/>
      <c r="B130" s="235"/>
      <c r="C130" s="235"/>
      <c r="D130" s="235"/>
      <c r="E130" s="235"/>
      <c r="F130" s="235"/>
      <c r="G130" s="235"/>
      <c r="H130" s="235"/>
      <c r="I130" s="235"/>
      <c r="J130" s="236"/>
      <c r="K130" s="236"/>
      <c r="L130" s="236"/>
      <c r="M130" s="236"/>
      <c r="N130" s="136"/>
      <c r="O130" s="136"/>
    </row>
    <row r="131" spans="1:15" ht="12.75">
      <c r="A131" s="235"/>
      <c r="B131" s="235"/>
      <c r="C131" s="235"/>
      <c r="D131" s="235"/>
      <c r="E131" s="235"/>
      <c r="F131" s="235"/>
      <c r="G131" s="235"/>
      <c r="H131" s="235"/>
      <c r="I131" s="235"/>
      <c r="J131" s="236"/>
      <c r="K131" s="236"/>
      <c r="L131" s="236"/>
      <c r="M131" s="236"/>
      <c r="N131" s="136"/>
      <c r="O131" s="136"/>
    </row>
    <row r="132" spans="1:15" ht="12.75">
      <c r="A132" s="235"/>
      <c r="B132" s="235"/>
      <c r="C132" s="235"/>
      <c r="D132" s="235"/>
      <c r="E132" s="235"/>
      <c r="F132" s="235"/>
      <c r="G132" s="235"/>
      <c r="H132" s="235"/>
      <c r="I132" s="235"/>
      <c r="J132" s="236"/>
      <c r="K132" s="236"/>
      <c r="L132" s="236"/>
      <c r="M132" s="236"/>
      <c r="N132" s="136"/>
      <c r="O132" s="136"/>
    </row>
    <row r="133" spans="1:15" ht="12.75">
      <c r="A133" s="235"/>
      <c r="B133" s="235"/>
      <c r="C133" s="235"/>
      <c r="D133" s="235"/>
      <c r="E133" s="235"/>
      <c r="F133" s="235"/>
      <c r="G133" s="235"/>
      <c r="H133" s="235"/>
      <c r="I133" s="235"/>
      <c r="J133" s="236"/>
      <c r="K133" s="236"/>
      <c r="L133" s="236"/>
      <c r="M133" s="236"/>
      <c r="N133" s="136"/>
      <c r="O133" s="136"/>
    </row>
    <row r="134" spans="1:15" ht="12.75">
      <c r="A134" s="235"/>
      <c r="B134" s="235"/>
      <c r="C134" s="235"/>
      <c r="D134" s="235"/>
      <c r="E134" s="235"/>
      <c r="F134" s="235"/>
      <c r="G134" s="235"/>
      <c r="H134" s="235"/>
      <c r="I134" s="235"/>
      <c r="J134" s="236"/>
      <c r="K134" s="236"/>
      <c r="L134" s="236"/>
      <c r="M134" s="236"/>
      <c r="N134" s="136"/>
      <c r="O134" s="136"/>
    </row>
    <row r="135" spans="1:15" ht="12.75">
      <c r="A135" s="235"/>
      <c r="B135" s="235"/>
      <c r="C135" s="235"/>
      <c r="D135" s="235"/>
      <c r="E135" s="235"/>
      <c r="F135" s="235"/>
      <c r="G135" s="235"/>
      <c r="H135" s="235"/>
      <c r="I135" s="235"/>
      <c r="J135" s="236"/>
      <c r="K135" s="236"/>
      <c r="L135" s="236"/>
      <c r="M135" s="236"/>
      <c r="N135" s="136"/>
      <c r="O135" s="136"/>
    </row>
    <row r="136" spans="1:15" ht="12.75">
      <c r="A136" s="235"/>
      <c r="B136" s="235"/>
      <c r="C136" s="235"/>
      <c r="D136" s="235"/>
      <c r="E136" s="235"/>
      <c r="F136" s="235"/>
      <c r="G136" s="235"/>
      <c r="H136" s="235"/>
      <c r="I136" s="235"/>
      <c r="J136" s="236"/>
      <c r="K136" s="236"/>
      <c r="L136" s="236"/>
      <c r="M136" s="236"/>
      <c r="N136" s="136"/>
      <c r="O136" s="136"/>
    </row>
    <row r="137" spans="1:15" ht="12.75">
      <c r="A137" s="235"/>
      <c r="B137" s="235"/>
      <c r="C137" s="235"/>
      <c r="D137" s="235"/>
      <c r="E137" s="235"/>
      <c r="F137" s="235"/>
      <c r="G137" s="235"/>
      <c r="H137" s="235"/>
      <c r="I137" s="235"/>
      <c r="J137" s="236"/>
      <c r="K137" s="236"/>
      <c r="L137" s="236"/>
      <c r="M137" s="236"/>
      <c r="N137" s="136"/>
      <c r="O137" s="136"/>
    </row>
    <row r="138" spans="1:15" ht="12.75">
      <c r="A138" s="235"/>
      <c r="B138" s="235"/>
      <c r="C138" s="235"/>
      <c r="D138" s="235"/>
      <c r="E138" s="235"/>
      <c r="F138" s="235"/>
      <c r="G138" s="235"/>
      <c r="H138" s="235"/>
      <c r="I138" s="235"/>
      <c r="J138" s="236"/>
      <c r="K138" s="236"/>
      <c r="L138" s="236"/>
      <c r="M138" s="236"/>
      <c r="N138" s="136"/>
      <c r="O138" s="136"/>
    </row>
    <row r="139" spans="1:15" ht="12.75">
      <c r="A139" s="235"/>
      <c r="B139" s="235"/>
      <c r="C139" s="235"/>
      <c r="D139" s="235"/>
      <c r="E139" s="235"/>
      <c r="F139" s="235"/>
      <c r="G139" s="235"/>
      <c r="H139" s="235"/>
      <c r="I139" s="235"/>
      <c r="J139" s="236"/>
      <c r="K139" s="236"/>
      <c r="L139" s="236"/>
      <c r="M139" s="236"/>
      <c r="N139" s="136"/>
      <c r="O139" s="136"/>
    </row>
    <row r="140" spans="1:15" ht="12.75">
      <c r="A140" s="235"/>
      <c r="B140" s="235"/>
      <c r="C140" s="235"/>
      <c r="D140" s="235"/>
      <c r="E140" s="235"/>
      <c r="F140" s="235"/>
      <c r="G140" s="235"/>
      <c r="H140" s="235"/>
      <c r="I140" s="235"/>
      <c r="J140" s="236"/>
      <c r="K140" s="236"/>
      <c r="L140" s="236"/>
      <c r="M140" s="236"/>
      <c r="N140" s="136"/>
      <c r="O140" s="136"/>
    </row>
    <row r="141" spans="1:15" ht="12.75">
      <c r="A141" s="235"/>
      <c r="B141" s="235"/>
      <c r="C141" s="235"/>
      <c r="D141" s="235"/>
      <c r="E141" s="235"/>
      <c r="F141" s="235"/>
      <c r="G141" s="235"/>
      <c r="H141" s="235"/>
      <c r="I141" s="235"/>
      <c r="J141" s="236"/>
      <c r="K141" s="236"/>
      <c r="L141" s="236"/>
      <c r="M141" s="236"/>
      <c r="N141" s="136"/>
      <c r="O141" s="136"/>
    </row>
    <row r="142" spans="1:15" ht="12.75">
      <c r="A142" s="235"/>
      <c r="B142" s="235"/>
      <c r="C142" s="235"/>
      <c r="D142" s="235"/>
      <c r="E142" s="235"/>
      <c r="F142" s="235"/>
      <c r="G142" s="235"/>
      <c r="H142" s="235"/>
      <c r="I142" s="235"/>
      <c r="J142" s="236"/>
      <c r="K142" s="236"/>
      <c r="L142" s="236"/>
      <c r="M142" s="236"/>
      <c r="N142" s="136"/>
      <c r="O142" s="136"/>
    </row>
    <row r="143" spans="1:15" ht="12.75">
      <c r="A143" s="237"/>
      <c r="B143" s="237"/>
      <c r="C143" s="237"/>
      <c r="D143" s="237"/>
      <c r="E143" s="237"/>
      <c r="F143" s="237"/>
      <c r="G143" s="237"/>
      <c r="H143" s="237"/>
      <c r="I143" s="237"/>
      <c r="J143" s="236"/>
      <c r="K143" s="236"/>
      <c r="L143" s="236"/>
      <c r="M143" s="236"/>
      <c r="N143" s="136"/>
      <c r="O143" s="136"/>
    </row>
    <row r="144" spans="1:15" ht="12.75">
      <c r="A144" s="237"/>
      <c r="B144" s="237"/>
      <c r="C144" s="237"/>
      <c r="D144" s="237"/>
      <c r="E144" s="237"/>
      <c r="F144" s="237"/>
      <c r="G144" s="237"/>
      <c r="H144" s="237"/>
      <c r="I144" s="237"/>
      <c r="J144" s="236"/>
      <c r="K144" s="236"/>
      <c r="L144" s="236"/>
      <c r="M144" s="236"/>
      <c r="N144" s="136"/>
      <c r="O144" s="136"/>
    </row>
    <row r="145" spans="1:15" ht="12.75">
      <c r="A145" s="237"/>
      <c r="B145" s="237"/>
      <c r="C145" s="237"/>
      <c r="D145" s="237"/>
      <c r="E145" s="237"/>
      <c r="F145" s="237"/>
      <c r="G145" s="237"/>
      <c r="H145" s="237"/>
      <c r="I145" s="237"/>
      <c r="J145" s="236"/>
      <c r="K145" s="236"/>
      <c r="L145" s="236"/>
      <c r="M145" s="236"/>
      <c r="N145" s="136"/>
      <c r="O145" s="136"/>
    </row>
    <row r="146" spans="1:15" ht="12.75">
      <c r="A146" s="237"/>
      <c r="B146" s="237"/>
      <c r="C146" s="237"/>
      <c r="D146" s="237"/>
      <c r="E146" s="237"/>
      <c r="F146" s="237"/>
      <c r="G146" s="237"/>
      <c r="H146" s="237"/>
      <c r="I146" s="237"/>
      <c r="J146" s="236"/>
      <c r="K146" s="236"/>
      <c r="L146" s="236"/>
      <c r="M146" s="236"/>
      <c r="N146" s="136"/>
      <c r="O146" s="136"/>
    </row>
    <row r="147" spans="1:15" ht="12.75">
      <c r="A147" s="237"/>
      <c r="B147" s="237"/>
      <c r="C147" s="237"/>
      <c r="D147" s="237"/>
      <c r="E147" s="237"/>
      <c r="F147" s="237"/>
      <c r="G147" s="237"/>
      <c r="H147" s="237"/>
      <c r="I147" s="237"/>
      <c r="J147" s="236"/>
      <c r="K147" s="236"/>
      <c r="L147" s="236"/>
      <c r="M147" s="236"/>
      <c r="N147" s="136"/>
      <c r="O147" s="136"/>
    </row>
    <row r="148" spans="1:15" ht="12.75">
      <c r="A148" s="237"/>
      <c r="B148" s="237"/>
      <c r="C148" s="237"/>
      <c r="D148" s="237"/>
      <c r="E148" s="237"/>
      <c r="F148" s="237"/>
      <c r="G148" s="237"/>
      <c r="H148" s="237"/>
      <c r="I148" s="237"/>
      <c r="J148" s="236"/>
      <c r="K148" s="236"/>
      <c r="L148" s="236"/>
      <c r="M148" s="236"/>
      <c r="N148" s="136"/>
      <c r="O148" s="136"/>
    </row>
    <row r="149" spans="1:15" ht="12.75">
      <c r="A149" s="237"/>
      <c r="B149" s="237"/>
      <c r="C149" s="237"/>
      <c r="D149" s="237"/>
      <c r="E149" s="237"/>
      <c r="F149" s="237"/>
      <c r="G149" s="237"/>
      <c r="H149" s="237"/>
      <c r="I149" s="237"/>
      <c r="J149" s="236"/>
      <c r="K149" s="236"/>
      <c r="L149" s="236"/>
      <c r="M149" s="236"/>
      <c r="N149" s="136"/>
      <c r="O149" s="136"/>
    </row>
    <row r="150" spans="1:15" ht="12.75">
      <c r="A150" s="237"/>
      <c r="B150" s="237"/>
      <c r="C150" s="237"/>
      <c r="D150" s="237"/>
      <c r="E150" s="237"/>
      <c r="F150" s="237"/>
      <c r="G150" s="237"/>
      <c r="H150" s="237"/>
      <c r="I150" s="237"/>
      <c r="J150" s="236"/>
      <c r="K150" s="236"/>
      <c r="L150" s="236"/>
      <c r="M150" s="236"/>
      <c r="N150" s="136"/>
      <c r="O150" s="136"/>
    </row>
    <row r="151" spans="1:15" ht="12.75">
      <c r="A151" s="237"/>
      <c r="B151" s="237"/>
      <c r="C151" s="237"/>
      <c r="D151" s="237"/>
      <c r="E151" s="237"/>
      <c r="F151" s="237"/>
      <c r="G151" s="237"/>
      <c r="H151" s="237"/>
      <c r="I151" s="237"/>
      <c r="J151" s="236"/>
      <c r="K151" s="236"/>
      <c r="L151" s="236"/>
      <c r="M151" s="236"/>
      <c r="N151" s="136"/>
      <c r="O151" s="136"/>
    </row>
    <row r="152" spans="1:15" ht="12.75">
      <c r="A152" s="237"/>
      <c r="B152" s="237"/>
      <c r="C152" s="237"/>
      <c r="D152" s="237"/>
      <c r="E152" s="237"/>
      <c r="F152" s="237"/>
      <c r="G152" s="237"/>
      <c r="H152" s="237"/>
      <c r="I152" s="237"/>
      <c r="J152" s="236"/>
      <c r="K152" s="236"/>
      <c r="L152" s="236"/>
      <c r="M152" s="236"/>
      <c r="N152" s="136"/>
      <c r="O152" s="136"/>
    </row>
    <row r="153" spans="1:15" ht="12.75">
      <c r="A153" s="237"/>
      <c r="B153" s="237"/>
      <c r="C153" s="237"/>
      <c r="D153" s="237"/>
      <c r="E153" s="237"/>
      <c r="F153" s="237"/>
      <c r="G153" s="237"/>
      <c r="H153" s="237"/>
      <c r="I153" s="237"/>
      <c r="J153" s="236"/>
      <c r="K153" s="236"/>
      <c r="L153" s="236"/>
      <c r="M153" s="236"/>
      <c r="N153" s="136"/>
      <c r="O153" s="136"/>
    </row>
    <row r="154" spans="1:15" ht="12.75">
      <c r="A154" s="237"/>
      <c r="B154" s="237"/>
      <c r="C154" s="237"/>
      <c r="D154" s="237"/>
      <c r="E154" s="237"/>
      <c r="F154" s="237"/>
      <c r="G154" s="237"/>
      <c r="H154" s="237"/>
      <c r="I154" s="237"/>
      <c r="J154" s="236"/>
      <c r="K154" s="236"/>
      <c r="L154" s="236"/>
      <c r="M154" s="236"/>
      <c r="N154" s="136"/>
      <c r="O154" s="136"/>
    </row>
    <row r="155" spans="1:15" ht="12.75">
      <c r="A155" s="237"/>
      <c r="B155" s="237"/>
      <c r="C155" s="237"/>
      <c r="D155" s="237"/>
      <c r="E155" s="237"/>
      <c r="F155" s="237"/>
      <c r="G155" s="237"/>
      <c r="H155" s="237"/>
      <c r="I155" s="237"/>
      <c r="J155" s="236"/>
      <c r="K155" s="236"/>
      <c r="L155" s="236"/>
      <c r="M155" s="236"/>
      <c r="N155" s="136"/>
      <c r="O155" s="136"/>
    </row>
    <row r="156" spans="1:15" ht="12.75">
      <c r="A156" s="237"/>
      <c r="B156" s="237"/>
      <c r="C156" s="237"/>
      <c r="D156" s="237"/>
      <c r="E156" s="237"/>
      <c r="F156" s="237"/>
      <c r="G156" s="237"/>
      <c r="H156" s="237"/>
      <c r="I156" s="237"/>
      <c r="J156" s="236"/>
      <c r="K156" s="236"/>
      <c r="L156" s="236"/>
      <c r="M156" s="236"/>
      <c r="N156" s="136"/>
      <c r="O156" s="136"/>
    </row>
    <row r="157" spans="1:15" ht="12.75">
      <c r="A157" s="237"/>
      <c r="B157" s="237"/>
      <c r="C157" s="237"/>
      <c r="D157" s="237"/>
      <c r="E157" s="237"/>
      <c r="F157" s="237"/>
      <c r="G157" s="237"/>
      <c r="H157" s="237"/>
      <c r="I157" s="237"/>
      <c r="J157" s="236"/>
      <c r="K157" s="236"/>
      <c r="L157" s="236"/>
      <c r="M157" s="236"/>
      <c r="N157" s="136"/>
      <c r="O157" s="136"/>
    </row>
    <row r="158" spans="1:15" ht="12.75">
      <c r="A158" s="237"/>
      <c r="B158" s="237"/>
      <c r="C158" s="237"/>
      <c r="D158" s="237"/>
      <c r="E158" s="237"/>
      <c r="F158" s="237"/>
      <c r="G158" s="237"/>
      <c r="H158" s="237"/>
      <c r="I158" s="237"/>
      <c r="J158" s="236"/>
      <c r="K158" s="236"/>
      <c r="L158" s="236"/>
      <c r="M158" s="236"/>
      <c r="N158" s="136"/>
      <c r="O158" s="136"/>
    </row>
    <row r="159" spans="1:15" ht="12.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6"/>
      <c r="K159" s="236"/>
      <c r="L159" s="236"/>
      <c r="M159" s="236"/>
      <c r="N159" s="136"/>
      <c r="O159" s="136"/>
    </row>
    <row r="160" spans="1:15" ht="12.75">
      <c r="A160" s="237"/>
      <c r="B160" s="237"/>
      <c r="C160" s="237"/>
      <c r="D160" s="237"/>
      <c r="E160" s="237"/>
      <c r="F160" s="237"/>
      <c r="G160" s="237"/>
      <c r="H160" s="237"/>
      <c r="I160" s="237"/>
      <c r="J160" s="236"/>
      <c r="K160" s="236"/>
      <c r="L160" s="236"/>
      <c r="M160" s="236"/>
      <c r="N160" s="136"/>
      <c r="O160" s="136"/>
    </row>
    <row r="161" spans="1:15" ht="12.75">
      <c r="A161" s="237"/>
      <c r="B161" s="237"/>
      <c r="C161" s="237"/>
      <c r="D161" s="237"/>
      <c r="E161" s="237"/>
      <c r="F161" s="237"/>
      <c r="G161" s="237"/>
      <c r="H161" s="237"/>
      <c r="I161" s="237"/>
      <c r="J161" s="236"/>
      <c r="K161" s="236"/>
      <c r="L161" s="236"/>
      <c r="M161" s="236"/>
      <c r="N161" s="136"/>
      <c r="O161" s="136"/>
    </row>
    <row r="162" spans="1:15" ht="12.75">
      <c r="A162" s="237"/>
      <c r="B162" s="237"/>
      <c r="C162" s="237"/>
      <c r="D162" s="237"/>
      <c r="E162" s="237"/>
      <c r="F162" s="237"/>
      <c r="G162" s="237"/>
      <c r="H162" s="237"/>
      <c r="I162" s="237"/>
      <c r="J162" s="236"/>
      <c r="K162" s="236"/>
      <c r="L162" s="236"/>
      <c r="M162" s="236"/>
      <c r="N162" s="136"/>
      <c r="O162" s="136"/>
    </row>
    <row r="163" spans="1:15" ht="12.75">
      <c r="A163" s="237"/>
      <c r="B163" s="237"/>
      <c r="C163" s="237"/>
      <c r="D163" s="237"/>
      <c r="E163" s="237"/>
      <c r="F163" s="237"/>
      <c r="G163" s="237"/>
      <c r="H163" s="237"/>
      <c r="I163" s="237"/>
      <c r="J163" s="236"/>
      <c r="K163" s="236"/>
      <c r="L163" s="236"/>
      <c r="M163" s="236"/>
      <c r="N163" s="136"/>
      <c r="O163" s="136"/>
    </row>
    <row r="164" spans="1:15" ht="12.75">
      <c r="A164" s="237"/>
      <c r="B164" s="237"/>
      <c r="C164" s="237"/>
      <c r="D164" s="237"/>
      <c r="E164" s="237"/>
      <c r="F164" s="237"/>
      <c r="G164" s="237"/>
      <c r="H164" s="237"/>
      <c r="I164" s="237"/>
      <c r="J164" s="236"/>
      <c r="K164" s="236"/>
      <c r="L164" s="236"/>
      <c r="M164" s="236"/>
      <c r="N164" s="136"/>
      <c r="O164" s="136"/>
    </row>
    <row r="165" spans="1:15" ht="12.75">
      <c r="A165" s="237"/>
      <c r="B165" s="237"/>
      <c r="C165" s="237"/>
      <c r="D165" s="237"/>
      <c r="E165" s="237"/>
      <c r="F165" s="237"/>
      <c r="G165" s="237"/>
      <c r="H165" s="237"/>
      <c r="I165" s="237"/>
      <c r="J165" s="236"/>
      <c r="K165" s="236"/>
      <c r="L165" s="236"/>
      <c r="M165" s="236"/>
      <c r="N165" s="136"/>
      <c r="O165" s="136"/>
    </row>
    <row r="166" spans="1:15" ht="12.75">
      <c r="A166" s="237"/>
      <c r="B166" s="237"/>
      <c r="C166" s="237"/>
      <c r="D166" s="237"/>
      <c r="E166" s="237"/>
      <c r="F166" s="237"/>
      <c r="G166" s="237"/>
      <c r="H166" s="237"/>
      <c r="I166" s="237"/>
      <c r="J166" s="236"/>
      <c r="K166" s="236"/>
      <c r="L166" s="236"/>
      <c r="M166" s="236"/>
      <c r="N166" s="136"/>
      <c r="O166" s="136"/>
    </row>
    <row r="167" spans="1:15" ht="12.75">
      <c r="A167" s="237"/>
      <c r="B167" s="237"/>
      <c r="C167" s="237"/>
      <c r="D167" s="237"/>
      <c r="E167" s="237"/>
      <c r="F167" s="237"/>
      <c r="G167" s="237"/>
      <c r="H167" s="237"/>
      <c r="I167" s="237"/>
      <c r="J167" s="236"/>
      <c r="K167" s="236"/>
      <c r="L167" s="236"/>
      <c r="M167" s="236"/>
      <c r="N167" s="136"/>
      <c r="O167" s="136"/>
    </row>
    <row r="168" spans="1:15" ht="12.75">
      <c r="A168" s="237"/>
      <c r="B168" s="237"/>
      <c r="C168" s="237"/>
      <c r="D168" s="237"/>
      <c r="E168" s="237"/>
      <c r="F168" s="237"/>
      <c r="G168" s="237"/>
      <c r="H168" s="237"/>
      <c r="I168" s="237"/>
      <c r="J168" s="236"/>
      <c r="K168" s="236"/>
      <c r="L168" s="236"/>
      <c r="M168" s="236"/>
      <c r="N168" s="136"/>
      <c r="O168" s="136"/>
    </row>
    <row r="169" spans="1:15" ht="12.75">
      <c r="A169" s="237"/>
      <c r="B169" s="237"/>
      <c r="C169" s="237"/>
      <c r="D169" s="237"/>
      <c r="E169" s="237"/>
      <c r="F169" s="237"/>
      <c r="G169" s="237"/>
      <c r="H169" s="237"/>
      <c r="I169" s="237"/>
      <c r="J169" s="236"/>
      <c r="K169" s="236"/>
      <c r="L169" s="236"/>
      <c r="M169" s="236"/>
      <c r="N169" s="136"/>
      <c r="O169" s="136"/>
    </row>
    <row r="170" spans="1:15" ht="12.75">
      <c r="A170" s="237"/>
      <c r="B170" s="237"/>
      <c r="C170" s="237"/>
      <c r="D170" s="237"/>
      <c r="E170" s="237"/>
      <c r="F170" s="237"/>
      <c r="G170" s="237"/>
      <c r="H170" s="237"/>
      <c r="I170" s="237"/>
      <c r="J170" s="236"/>
      <c r="K170" s="236"/>
      <c r="L170" s="236"/>
      <c r="M170" s="236"/>
      <c r="N170" s="136"/>
      <c r="O170" s="136"/>
    </row>
    <row r="171" spans="1:15" ht="12.75">
      <c r="A171" s="237"/>
      <c r="B171" s="237"/>
      <c r="C171" s="237"/>
      <c r="D171" s="237"/>
      <c r="E171" s="237"/>
      <c r="F171" s="237"/>
      <c r="G171" s="237"/>
      <c r="H171" s="237"/>
      <c r="I171" s="237"/>
      <c r="J171" s="236"/>
      <c r="K171" s="236"/>
      <c r="L171" s="236"/>
      <c r="M171" s="236"/>
      <c r="N171" s="136"/>
      <c r="O171" s="136"/>
    </row>
    <row r="172" spans="1:15" ht="12.75">
      <c r="A172" s="237"/>
      <c r="B172" s="237"/>
      <c r="C172" s="237"/>
      <c r="D172" s="237"/>
      <c r="E172" s="237"/>
      <c r="F172" s="237"/>
      <c r="G172" s="237"/>
      <c r="H172" s="237"/>
      <c r="I172" s="237"/>
      <c r="J172" s="236"/>
      <c r="K172" s="236"/>
      <c r="L172" s="236"/>
      <c r="M172" s="236"/>
      <c r="N172" s="136"/>
      <c r="O172" s="136"/>
    </row>
    <row r="173" spans="1:15" ht="12.75">
      <c r="A173" s="237"/>
      <c r="B173" s="237"/>
      <c r="C173" s="237"/>
      <c r="D173" s="237"/>
      <c r="E173" s="237"/>
      <c r="F173" s="237"/>
      <c r="G173" s="237"/>
      <c r="H173" s="237"/>
      <c r="I173" s="237"/>
      <c r="J173" s="236"/>
      <c r="K173" s="236"/>
      <c r="L173" s="236"/>
      <c r="M173" s="236"/>
      <c r="N173" s="136"/>
      <c r="O173" s="136"/>
    </row>
    <row r="174" spans="1:15" ht="12.75">
      <c r="A174" s="237"/>
      <c r="B174" s="237"/>
      <c r="C174" s="237"/>
      <c r="D174" s="237"/>
      <c r="E174" s="237"/>
      <c r="F174" s="237"/>
      <c r="G174" s="237"/>
      <c r="H174" s="237"/>
      <c r="I174" s="237"/>
      <c r="J174" s="236"/>
      <c r="K174" s="236"/>
      <c r="L174" s="236"/>
      <c r="M174" s="236"/>
      <c r="N174" s="136"/>
      <c r="O174" s="136"/>
    </row>
    <row r="175" spans="1:15" ht="12.75">
      <c r="A175" s="237"/>
      <c r="B175" s="237"/>
      <c r="C175" s="237"/>
      <c r="D175" s="237"/>
      <c r="E175" s="237"/>
      <c r="F175" s="237"/>
      <c r="G175" s="237"/>
      <c r="H175" s="237"/>
      <c r="I175" s="237"/>
      <c r="J175" s="236"/>
      <c r="K175" s="236"/>
      <c r="L175" s="236"/>
      <c r="M175" s="236"/>
      <c r="N175" s="136"/>
      <c r="O175" s="136"/>
    </row>
    <row r="176" spans="1:15" ht="12.75">
      <c r="A176" s="237"/>
      <c r="B176" s="237"/>
      <c r="C176" s="237"/>
      <c r="D176" s="237"/>
      <c r="E176" s="237"/>
      <c r="F176" s="237"/>
      <c r="G176" s="237"/>
      <c r="H176" s="237"/>
      <c r="I176" s="237"/>
      <c r="J176" s="236"/>
      <c r="K176" s="236"/>
      <c r="L176" s="236"/>
      <c r="M176" s="236"/>
      <c r="N176" s="136"/>
      <c r="O176" s="136"/>
    </row>
    <row r="177" spans="1:15" ht="12.75">
      <c r="A177" s="237"/>
      <c r="B177" s="237"/>
      <c r="C177" s="237"/>
      <c r="D177" s="237"/>
      <c r="E177" s="237"/>
      <c r="F177" s="237"/>
      <c r="G177" s="237"/>
      <c r="H177" s="237"/>
      <c r="I177" s="237"/>
      <c r="J177" s="236"/>
      <c r="K177" s="236"/>
      <c r="L177" s="236"/>
      <c r="M177" s="236"/>
      <c r="N177" s="136"/>
      <c r="O177" s="136"/>
    </row>
    <row r="178" spans="1:15" ht="12.75">
      <c r="A178" s="237"/>
      <c r="B178" s="237"/>
      <c r="C178" s="237"/>
      <c r="D178" s="237"/>
      <c r="E178" s="237"/>
      <c r="F178" s="237"/>
      <c r="G178" s="237"/>
      <c r="H178" s="237"/>
      <c r="I178" s="237"/>
      <c r="J178" s="236"/>
      <c r="K178" s="236"/>
      <c r="L178" s="236"/>
      <c r="M178" s="236"/>
      <c r="N178" s="136"/>
      <c r="O178" s="136"/>
    </row>
    <row r="179" spans="1:15" ht="12.75">
      <c r="A179" s="237"/>
      <c r="B179" s="237"/>
      <c r="C179" s="237"/>
      <c r="D179" s="237"/>
      <c r="E179" s="237"/>
      <c r="F179" s="237"/>
      <c r="G179" s="237"/>
      <c r="H179" s="237"/>
      <c r="I179" s="237"/>
      <c r="J179" s="236"/>
      <c r="K179" s="236"/>
      <c r="L179" s="236"/>
      <c r="M179" s="236"/>
      <c r="N179" s="136"/>
      <c r="O179" s="136"/>
    </row>
    <row r="180" spans="1:15" ht="12.75">
      <c r="A180" s="237"/>
      <c r="B180" s="237"/>
      <c r="C180" s="237"/>
      <c r="D180" s="237"/>
      <c r="E180" s="237"/>
      <c r="F180" s="237"/>
      <c r="G180" s="237"/>
      <c r="H180" s="237"/>
      <c r="I180" s="237"/>
      <c r="J180" s="236"/>
      <c r="K180" s="236"/>
      <c r="L180" s="236"/>
      <c r="M180" s="236"/>
      <c r="N180" s="136"/>
      <c r="O180" s="136"/>
    </row>
    <row r="181" spans="1:15" ht="12.75">
      <c r="A181" s="237"/>
      <c r="B181" s="237"/>
      <c r="C181" s="237"/>
      <c r="D181" s="237"/>
      <c r="E181" s="237"/>
      <c r="F181" s="237"/>
      <c r="G181" s="237"/>
      <c r="H181" s="237"/>
      <c r="I181" s="237"/>
      <c r="J181" s="236"/>
      <c r="K181" s="236"/>
      <c r="L181" s="236"/>
      <c r="M181" s="236"/>
      <c r="N181" s="136"/>
      <c r="O181" s="136"/>
    </row>
    <row r="182" spans="1:15" ht="12.75">
      <c r="A182" s="237"/>
      <c r="B182" s="237"/>
      <c r="C182" s="237"/>
      <c r="D182" s="237"/>
      <c r="E182" s="237"/>
      <c r="F182" s="237"/>
      <c r="G182" s="237"/>
      <c r="H182" s="237"/>
      <c r="I182" s="237"/>
      <c r="J182" s="236"/>
      <c r="K182" s="236"/>
      <c r="L182" s="236"/>
      <c r="M182" s="236"/>
      <c r="N182" s="136"/>
      <c r="O182" s="136"/>
    </row>
    <row r="183" spans="1:15" ht="12.75">
      <c r="A183" s="237"/>
      <c r="B183" s="237"/>
      <c r="C183" s="237"/>
      <c r="D183" s="237"/>
      <c r="E183" s="237"/>
      <c r="F183" s="237"/>
      <c r="G183" s="237"/>
      <c r="H183" s="237"/>
      <c r="I183" s="237"/>
      <c r="J183" s="236"/>
      <c r="K183" s="236"/>
      <c r="L183" s="236"/>
      <c r="M183" s="236"/>
      <c r="N183" s="136"/>
      <c r="O183" s="136"/>
    </row>
    <row r="184" spans="1:15" ht="12.75">
      <c r="A184" s="237"/>
      <c r="B184" s="237"/>
      <c r="C184" s="237"/>
      <c r="D184" s="237"/>
      <c r="E184" s="237"/>
      <c r="F184" s="237"/>
      <c r="G184" s="237"/>
      <c r="H184" s="237"/>
      <c r="I184" s="237"/>
      <c r="J184" s="236"/>
      <c r="K184" s="236"/>
      <c r="L184" s="236"/>
      <c r="M184" s="236"/>
      <c r="N184" s="136"/>
      <c r="O184" s="136"/>
    </row>
    <row r="185" spans="1:15" ht="12.75">
      <c r="A185" s="237"/>
      <c r="B185" s="237"/>
      <c r="C185" s="237"/>
      <c r="D185" s="237"/>
      <c r="E185" s="237"/>
      <c r="F185" s="237"/>
      <c r="G185" s="237"/>
      <c r="H185" s="237"/>
      <c r="I185" s="237"/>
      <c r="J185" s="236"/>
      <c r="K185" s="236"/>
      <c r="L185" s="236"/>
      <c r="M185" s="236"/>
      <c r="N185" s="136"/>
      <c r="O185" s="136"/>
    </row>
    <row r="186" spans="1:15" ht="12.75">
      <c r="A186" s="237"/>
      <c r="B186" s="237"/>
      <c r="C186" s="237"/>
      <c r="D186" s="237"/>
      <c r="E186" s="237"/>
      <c r="F186" s="237"/>
      <c r="G186" s="237"/>
      <c r="H186" s="237"/>
      <c r="I186" s="237"/>
      <c r="J186" s="236"/>
      <c r="K186" s="236"/>
      <c r="L186" s="236"/>
      <c r="M186" s="236"/>
      <c r="N186" s="136"/>
      <c r="O186" s="136"/>
    </row>
    <row r="187" spans="1:15" ht="12.75">
      <c r="A187" s="237"/>
      <c r="B187" s="237"/>
      <c r="C187" s="237"/>
      <c r="D187" s="237"/>
      <c r="E187" s="237"/>
      <c r="F187" s="237"/>
      <c r="G187" s="237"/>
      <c r="H187" s="237"/>
      <c r="I187" s="237"/>
      <c r="J187" s="236"/>
      <c r="K187" s="236"/>
      <c r="L187" s="236"/>
      <c r="M187" s="236"/>
      <c r="N187" s="136"/>
      <c r="O187" s="136"/>
    </row>
    <row r="188" spans="1:15" ht="12.75">
      <c r="A188" s="237"/>
      <c r="B188" s="237"/>
      <c r="C188" s="237"/>
      <c r="D188" s="237"/>
      <c r="E188" s="237"/>
      <c r="F188" s="237"/>
      <c r="G188" s="237"/>
      <c r="H188" s="237"/>
      <c r="I188" s="237"/>
      <c r="J188" s="236"/>
      <c r="K188" s="236"/>
      <c r="L188" s="236"/>
      <c r="M188" s="236"/>
      <c r="N188" s="136"/>
      <c r="O188" s="136"/>
    </row>
    <row r="189" spans="1:15" ht="12.75">
      <c r="A189" s="237"/>
      <c r="B189" s="237"/>
      <c r="C189" s="237"/>
      <c r="D189" s="237"/>
      <c r="E189" s="237"/>
      <c r="F189" s="237"/>
      <c r="G189" s="237"/>
      <c r="H189" s="237"/>
      <c r="I189" s="237"/>
      <c r="J189" s="236"/>
      <c r="K189" s="236"/>
      <c r="L189" s="236"/>
      <c r="M189" s="236"/>
      <c r="N189" s="136"/>
      <c r="O189" s="136"/>
    </row>
    <row r="190" spans="1:15" ht="12.75">
      <c r="A190" s="237"/>
      <c r="B190" s="237"/>
      <c r="C190" s="237"/>
      <c r="D190" s="237"/>
      <c r="E190" s="237"/>
      <c r="F190" s="237"/>
      <c r="G190" s="237"/>
      <c r="H190" s="237"/>
      <c r="I190" s="237"/>
      <c r="J190" s="236"/>
      <c r="K190" s="236"/>
      <c r="L190" s="236"/>
      <c r="M190" s="236"/>
      <c r="N190" s="136"/>
      <c r="O190" s="136"/>
    </row>
    <row r="191" spans="1:15" ht="12.75">
      <c r="A191" s="237"/>
      <c r="B191" s="237"/>
      <c r="C191" s="237"/>
      <c r="D191" s="237"/>
      <c r="E191" s="237"/>
      <c r="F191" s="237"/>
      <c r="G191" s="237"/>
      <c r="H191" s="237"/>
      <c r="I191" s="237"/>
      <c r="J191" s="236"/>
      <c r="K191" s="236"/>
      <c r="L191" s="236"/>
      <c r="M191" s="236"/>
      <c r="N191" s="136"/>
      <c r="O191" s="136"/>
    </row>
    <row r="192" spans="1:15" ht="12.75">
      <c r="A192" s="237"/>
      <c r="B192" s="237"/>
      <c r="C192" s="237"/>
      <c r="D192" s="237"/>
      <c r="E192" s="237"/>
      <c r="F192" s="237"/>
      <c r="G192" s="237"/>
      <c r="H192" s="237"/>
      <c r="I192" s="237"/>
      <c r="J192" s="236"/>
      <c r="K192" s="236"/>
      <c r="L192" s="236"/>
      <c r="M192" s="236"/>
      <c r="N192" s="136"/>
      <c r="O192" s="136"/>
    </row>
    <row r="193" spans="1:15" ht="12.75">
      <c r="A193" s="237"/>
      <c r="B193" s="237"/>
      <c r="C193" s="237"/>
      <c r="D193" s="237"/>
      <c r="E193" s="237"/>
      <c r="F193" s="237"/>
      <c r="G193" s="237"/>
      <c r="H193" s="237"/>
      <c r="I193" s="237"/>
      <c r="J193" s="236"/>
      <c r="K193" s="236"/>
      <c r="L193" s="236"/>
      <c r="M193" s="236"/>
      <c r="N193" s="136"/>
      <c r="O193" s="136"/>
    </row>
    <row r="194" spans="1:15" ht="12.75">
      <c r="A194" s="237"/>
      <c r="B194" s="237"/>
      <c r="C194" s="237"/>
      <c r="D194" s="237"/>
      <c r="E194" s="237"/>
      <c r="F194" s="237"/>
      <c r="G194" s="237"/>
      <c r="H194" s="237"/>
      <c r="I194" s="237"/>
      <c r="J194" s="236"/>
      <c r="K194" s="236"/>
      <c r="L194" s="236"/>
      <c r="M194" s="236"/>
      <c r="N194" s="136"/>
      <c r="O194" s="136"/>
    </row>
    <row r="195" spans="1:15" ht="12.75">
      <c r="A195" s="237"/>
      <c r="B195" s="237"/>
      <c r="C195" s="237"/>
      <c r="D195" s="237"/>
      <c r="E195" s="237"/>
      <c r="F195" s="237"/>
      <c r="G195" s="237"/>
      <c r="H195" s="237"/>
      <c r="I195" s="237"/>
      <c r="J195" s="236"/>
      <c r="K195" s="236"/>
      <c r="L195" s="236"/>
      <c r="M195" s="236"/>
      <c r="N195" s="136"/>
      <c r="O195" s="136"/>
    </row>
    <row r="196" spans="1:15" ht="12.75">
      <c r="A196" s="237"/>
      <c r="B196" s="237"/>
      <c r="C196" s="237"/>
      <c r="D196" s="237"/>
      <c r="E196" s="237"/>
      <c r="F196" s="237"/>
      <c r="G196" s="237"/>
      <c r="H196" s="237"/>
      <c r="I196" s="237"/>
      <c r="J196" s="236"/>
      <c r="K196" s="236"/>
      <c r="L196" s="236"/>
      <c r="M196" s="236"/>
      <c r="N196" s="136"/>
      <c r="O196" s="136"/>
    </row>
    <row r="197" spans="1:15" ht="12.75">
      <c r="A197" s="237"/>
      <c r="B197" s="237"/>
      <c r="C197" s="237"/>
      <c r="D197" s="237"/>
      <c r="E197" s="237"/>
      <c r="F197" s="237"/>
      <c r="G197" s="237"/>
      <c r="H197" s="237"/>
      <c r="I197" s="237"/>
      <c r="J197" s="236"/>
      <c r="K197" s="236"/>
      <c r="L197" s="236"/>
      <c r="M197" s="236"/>
      <c r="N197" s="136"/>
      <c r="O197" s="136"/>
    </row>
    <row r="198" spans="1:15" ht="12.75">
      <c r="A198" s="237"/>
      <c r="B198" s="237"/>
      <c r="C198" s="237"/>
      <c r="D198" s="237"/>
      <c r="E198" s="237"/>
      <c r="F198" s="237"/>
      <c r="G198" s="237"/>
      <c r="H198" s="237"/>
      <c r="I198" s="237"/>
      <c r="J198" s="236"/>
      <c r="K198" s="236"/>
      <c r="L198" s="236"/>
      <c r="M198" s="236"/>
      <c r="N198" s="136"/>
      <c r="O198" s="136"/>
    </row>
    <row r="199" spans="1:15" ht="12.75">
      <c r="A199" s="237"/>
      <c r="B199" s="237"/>
      <c r="C199" s="237"/>
      <c r="D199" s="237"/>
      <c r="E199" s="237"/>
      <c r="F199" s="237"/>
      <c r="G199" s="237"/>
      <c r="H199" s="237"/>
      <c r="I199" s="237"/>
      <c r="J199" s="236"/>
      <c r="K199" s="236"/>
      <c r="L199" s="236"/>
      <c r="M199" s="236"/>
      <c r="N199" s="136"/>
      <c r="O199" s="136"/>
    </row>
    <row r="200" spans="1:15" ht="12.75">
      <c r="A200" s="237"/>
      <c r="B200" s="237"/>
      <c r="C200" s="237"/>
      <c r="D200" s="237"/>
      <c r="E200" s="237"/>
      <c r="F200" s="237"/>
      <c r="G200" s="237"/>
      <c r="H200" s="237"/>
      <c r="I200" s="237"/>
      <c r="J200" s="236"/>
      <c r="K200" s="236"/>
      <c r="L200" s="236"/>
      <c r="M200" s="236"/>
      <c r="N200" s="136"/>
      <c r="O200" s="136"/>
    </row>
    <row r="201" spans="1:15" ht="12.75">
      <c r="A201" s="237"/>
      <c r="B201" s="237"/>
      <c r="C201" s="237"/>
      <c r="D201" s="237"/>
      <c r="E201" s="237"/>
      <c r="F201" s="237"/>
      <c r="G201" s="237"/>
      <c r="H201" s="237"/>
      <c r="I201" s="237"/>
      <c r="J201" s="236"/>
      <c r="K201" s="236"/>
      <c r="L201" s="236"/>
      <c r="M201" s="236"/>
      <c r="N201" s="136"/>
      <c r="O201" s="136"/>
    </row>
    <row r="202" spans="1:15" ht="12.75">
      <c r="A202" s="237"/>
      <c r="B202" s="237"/>
      <c r="C202" s="237"/>
      <c r="D202" s="237"/>
      <c r="E202" s="237"/>
      <c r="F202" s="237"/>
      <c r="G202" s="237"/>
      <c r="H202" s="237"/>
      <c r="I202" s="237"/>
      <c r="J202" s="236"/>
      <c r="K202" s="236"/>
      <c r="L202" s="236"/>
      <c r="M202" s="236"/>
      <c r="N202" s="136"/>
      <c r="O202" s="136"/>
    </row>
    <row r="203" spans="1:15" ht="12.75">
      <c r="A203" s="237"/>
      <c r="B203" s="237"/>
      <c r="C203" s="237"/>
      <c r="D203" s="237"/>
      <c r="E203" s="237"/>
      <c r="F203" s="237"/>
      <c r="G203" s="237"/>
      <c r="H203" s="237"/>
      <c r="I203" s="237"/>
      <c r="J203" s="236"/>
      <c r="K203" s="236"/>
      <c r="L203" s="236"/>
      <c r="M203" s="236"/>
      <c r="N203" s="136"/>
      <c r="O203" s="136"/>
    </row>
    <row r="204" spans="1:15" ht="12.75">
      <c r="A204" s="237"/>
      <c r="B204" s="237"/>
      <c r="C204" s="237"/>
      <c r="D204" s="237"/>
      <c r="E204" s="237"/>
      <c r="F204" s="237"/>
      <c r="G204" s="237"/>
      <c r="H204" s="237"/>
      <c r="I204" s="237"/>
      <c r="J204" s="236"/>
      <c r="K204" s="236"/>
      <c r="L204" s="236"/>
      <c r="M204" s="236"/>
      <c r="N204" s="136"/>
      <c r="O204" s="136"/>
    </row>
    <row r="205" spans="1:15" ht="12.75">
      <c r="A205" s="237"/>
      <c r="B205" s="237"/>
      <c r="C205" s="237"/>
      <c r="D205" s="237"/>
      <c r="E205" s="237"/>
      <c r="F205" s="237"/>
      <c r="G205" s="237"/>
      <c r="H205" s="237"/>
      <c r="I205" s="237"/>
      <c r="J205" s="236"/>
      <c r="K205" s="236"/>
      <c r="L205" s="236"/>
      <c r="M205" s="236"/>
      <c r="N205" s="136"/>
      <c r="O205" s="136"/>
    </row>
    <row r="206" spans="1:15" ht="12.75">
      <c r="A206" s="237"/>
      <c r="B206" s="237"/>
      <c r="C206" s="237"/>
      <c r="D206" s="237"/>
      <c r="E206" s="237"/>
      <c r="F206" s="237"/>
      <c r="G206" s="237"/>
      <c r="H206" s="237"/>
      <c r="I206" s="237"/>
      <c r="J206" s="236"/>
      <c r="K206" s="236"/>
      <c r="L206" s="236"/>
      <c r="M206" s="236"/>
      <c r="N206" s="136"/>
      <c r="O206" s="136"/>
    </row>
    <row r="207" spans="1:15" ht="12.75">
      <c r="A207" s="237"/>
      <c r="B207" s="237"/>
      <c r="C207" s="237"/>
      <c r="D207" s="237"/>
      <c r="E207" s="237"/>
      <c r="F207" s="237"/>
      <c r="G207" s="237"/>
      <c r="H207" s="237"/>
      <c r="I207" s="237"/>
      <c r="J207" s="236"/>
      <c r="K207" s="236"/>
      <c r="L207" s="236"/>
      <c r="M207" s="236"/>
      <c r="N207" s="136"/>
      <c r="O207" s="136"/>
    </row>
    <row r="208" spans="1:15" ht="12.75">
      <c r="A208" s="236"/>
      <c r="B208" s="236"/>
      <c r="C208" s="236"/>
      <c r="D208" s="236"/>
      <c r="E208" s="236"/>
      <c r="F208" s="236"/>
      <c r="G208" s="236"/>
      <c r="H208" s="236"/>
      <c r="I208" s="236"/>
      <c r="J208" s="236"/>
      <c r="K208" s="236"/>
      <c r="L208" s="236"/>
      <c r="M208" s="236"/>
      <c r="N208" s="136"/>
      <c r="O208" s="136"/>
    </row>
    <row r="209" spans="1:15" ht="12.75">
      <c r="A209" s="236"/>
      <c r="B209" s="236"/>
      <c r="C209" s="236"/>
      <c r="D209" s="236"/>
      <c r="E209" s="236"/>
      <c r="F209" s="236"/>
      <c r="G209" s="236"/>
      <c r="H209" s="236"/>
      <c r="I209" s="236"/>
      <c r="J209" s="236"/>
      <c r="K209" s="236"/>
      <c r="L209" s="236"/>
      <c r="M209" s="236"/>
      <c r="N209" s="136"/>
      <c r="O209" s="136"/>
    </row>
    <row r="210" spans="1:15" ht="12.75">
      <c r="A210" s="236"/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136"/>
      <c r="O210" s="136"/>
    </row>
    <row r="211" spans="1:15" ht="12.75">
      <c r="A211" s="236"/>
      <c r="B211" s="236"/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136"/>
      <c r="O211" s="136"/>
    </row>
    <row r="212" spans="1:15" ht="12.75">
      <c r="A212" s="236"/>
      <c r="B212" s="236"/>
      <c r="C212" s="236"/>
      <c r="D212" s="236"/>
      <c r="E212" s="236"/>
      <c r="F212" s="236"/>
      <c r="G212" s="236"/>
      <c r="H212" s="236"/>
      <c r="I212" s="236"/>
      <c r="J212" s="236"/>
      <c r="K212" s="236"/>
      <c r="L212" s="236"/>
      <c r="M212" s="236"/>
      <c r="N212" s="136"/>
      <c r="O212" s="136"/>
    </row>
    <row r="213" spans="1:15" ht="12.75">
      <c r="A213" s="236"/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136"/>
      <c r="O213" s="136"/>
    </row>
    <row r="214" spans="1:15" ht="12.75">
      <c r="A214" s="236"/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136"/>
      <c r="O214" s="136"/>
    </row>
    <row r="215" spans="1:15" ht="12.75">
      <c r="A215" s="236"/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136"/>
      <c r="O215" s="136"/>
    </row>
    <row r="216" spans="1:15" ht="12.75">
      <c r="A216" s="236"/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136"/>
      <c r="O216" s="136"/>
    </row>
    <row r="217" spans="1:15" ht="12.75">
      <c r="A217" s="236"/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136"/>
      <c r="O217" s="136"/>
    </row>
    <row r="218" spans="1:15" ht="12.75">
      <c r="A218" s="236"/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  <c r="L218" s="236"/>
      <c r="M218" s="236"/>
      <c r="N218" s="136"/>
      <c r="O218" s="136"/>
    </row>
    <row r="219" spans="1:15" ht="12.75">
      <c r="A219" s="236"/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136"/>
      <c r="O219" s="136"/>
    </row>
    <row r="220" spans="1:15" ht="12.75">
      <c r="A220" s="236"/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136"/>
      <c r="O220" s="136"/>
    </row>
    <row r="221" spans="1:15" ht="12.75">
      <c r="A221" s="236"/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136"/>
      <c r="O221" s="136"/>
    </row>
    <row r="222" spans="1:15" ht="12.75">
      <c r="A222" s="236"/>
      <c r="B222" s="236"/>
      <c r="C222" s="236"/>
      <c r="D222" s="236"/>
      <c r="E222" s="236"/>
      <c r="F222" s="236"/>
      <c r="G222" s="236"/>
      <c r="H222" s="236"/>
      <c r="I222" s="236"/>
      <c r="J222" s="236"/>
      <c r="K222" s="136"/>
      <c r="L222" s="136"/>
      <c r="M222" s="136"/>
      <c r="N222" s="136"/>
      <c r="O222" s="136"/>
    </row>
    <row r="223" spans="1:15" ht="12.75">
      <c r="A223" s="236"/>
      <c r="B223" s="236"/>
      <c r="C223" s="236"/>
      <c r="D223" s="236"/>
      <c r="E223" s="236"/>
      <c r="F223" s="236"/>
      <c r="G223" s="236"/>
      <c r="H223" s="236"/>
      <c r="I223" s="236"/>
      <c r="J223" s="236"/>
      <c r="K223" s="136"/>
      <c r="L223" s="136"/>
      <c r="M223" s="136"/>
      <c r="N223" s="136"/>
      <c r="O223" s="136"/>
    </row>
    <row r="224" spans="1:15" ht="12.75">
      <c r="A224" s="236"/>
      <c r="B224" s="236"/>
      <c r="C224" s="236"/>
      <c r="D224" s="236"/>
      <c r="E224" s="236"/>
      <c r="F224" s="236"/>
      <c r="G224" s="236"/>
      <c r="H224" s="236"/>
      <c r="I224" s="236"/>
      <c r="J224" s="236"/>
      <c r="K224" s="136"/>
      <c r="L224" s="136"/>
      <c r="M224" s="136"/>
      <c r="N224" s="136"/>
      <c r="O224" s="136"/>
    </row>
    <row r="225" spans="1:15" ht="12.75">
      <c r="A225" s="236"/>
      <c r="B225" s="236"/>
      <c r="C225" s="236"/>
      <c r="D225" s="236"/>
      <c r="E225" s="236"/>
      <c r="F225" s="236"/>
      <c r="G225" s="236"/>
      <c r="H225" s="236"/>
      <c r="I225" s="236"/>
      <c r="J225" s="236"/>
      <c r="K225" s="136"/>
      <c r="L225" s="136"/>
      <c r="M225" s="136"/>
      <c r="N225" s="136"/>
      <c r="O225" s="136"/>
    </row>
    <row r="226" spans="1:15" ht="12.75">
      <c r="A226" s="236"/>
      <c r="B226" s="236"/>
      <c r="C226" s="236"/>
      <c r="D226" s="236"/>
      <c r="E226" s="236"/>
      <c r="F226" s="236"/>
      <c r="G226" s="236"/>
      <c r="H226" s="236"/>
      <c r="I226" s="236"/>
      <c r="J226" s="236"/>
      <c r="K226" s="136"/>
      <c r="L226" s="136"/>
      <c r="M226" s="136"/>
      <c r="N226" s="136"/>
      <c r="O226" s="136"/>
    </row>
    <row r="227" spans="1:15" ht="12.75">
      <c r="A227" s="236"/>
      <c r="B227" s="236"/>
      <c r="C227" s="236"/>
      <c r="D227" s="236"/>
      <c r="E227" s="236"/>
      <c r="F227" s="236"/>
      <c r="G227" s="236"/>
      <c r="H227" s="236"/>
      <c r="I227" s="236"/>
      <c r="J227" s="236"/>
      <c r="K227" s="136"/>
      <c r="L227" s="136"/>
      <c r="M227" s="136"/>
      <c r="N227" s="136"/>
      <c r="O227" s="136"/>
    </row>
    <row r="228" spans="1:15" ht="12.75">
      <c r="A228" s="236"/>
      <c r="B228" s="236"/>
      <c r="C228" s="236"/>
      <c r="D228" s="236"/>
      <c r="E228" s="236"/>
      <c r="F228" s="236"/>
      <c r="G228" s="236"/>
      <c r="H228" s="236"/>
      <c r="I228" s="236"/>
      <c r="J228" s="236"/>
      <c r="K228" s="136"/>
      <c r="L228" s="136"/>
      <c r="M228" s="136"/>
      <c r="N228" s="136"/>
      <c r="O228" s="136"/>
    </row>
    <row r="229" spans="1:15" ht="12.75">
      <c r="A229" s="236"/>
      <c r="B229" s="236"/>
      <c r="C229" s="236"/>
      <c r="D229" s="236"/>
      <c r="E229" s="236"/>
      <c r="F229" s="236"/>
      <c r="G229" s="236"/>
      <c r="H229" s="236"/>
      <c r="I229" s="236"/>
      <c r="J229" s="236"/>
      <c r="K229" s="136"/>
      <c r="L229" s="136"/>
      <c r="M229" s="136"/>
      <c r="N229" s="136"/>
      <c r="O229" s="136"/>
    </row>
    <row r="230" spans="1:15" ht="12.75">
      <c r="A230" s="236"/>
      <c r="B230" s="236"/>
      <c r="C230" s="236"/>
      <c r="D230" s="236"/>
      <c r="E230" s="236"/>
      <c r="F230" s="236"/>
      <c r="G230" s="236"/>
      <c r="H230" s="236"/>
      <c r="I230" s="236"/>
      <c r="J230" s="236"/>
      <c r="K230" s="136"/>
      <c r="L230" s="136"/>
      <c r="M230" s="136"/>
      <c r="N230" s="136"/>
      <c r="O230" s="136"/>
    </row>
    <row r="231" spans="1:15" ht="12.75">
      <c r="A231" s="236"/>
      <c r="B231" s="236"/>
      <c r="C231" s="236"/>
      <c r="D231" s="236"/>
      <c r="E231" s="236"/>
      <c r="F231" s="236"/>
      <c r="G231" s="236"/>
      <c r="H231" s="236"/>
      <c r="I231" s="236"/>
      <c r="J231" s="236"/>
      <c r="K231" s="136"/>
      <c r="L231" s="136"/>
      <c r="M231" s="136"/>
      <c r="N231" s="136"/>
      <c r="O231" s="136"/>
    </row>
    <row r="232" spans="1:15" ht="12.75">
      <c r="A232" s="236"/>
      <c r="B232" s="236"/>
      <c r="C232" s="236"/>
      <c r="D232" s="236"/>
      <c r="E232" s="236"/>
      <c r="F232" s="236"/>
      <c r="G232" s="236"/>
      <c r="H232" s="236"/>
      <c r="I232" s="236"/>
      <c r="J232" s="236"/>
      <c r="K232" s="136"/>
      <c r="L232" s="136"/>
      <c r="M232" s="136"/>
      <c r="N232" s="136"/>
      <c r="O232" s="136"/>
    </row>
    <row r="233" spans="1:15" ht="12.75">
      <c r="A233" s="236"/>
      <c r="B233" s="236"/>
      <c r="C233" s="236"/>
      <c r="D233" s="236"/>
      <c r="E233" s="236"/>
      <c r="F233" s="236"/>
      <c r="G233" s="236"/>
      <c r="H233" s="236"/>
      <c r="I233" s="236"/>
      <c r="J233" s="236"/>
      <c r="K233" s="136"/>
      <c r="L233" s="136"/>
      <c r="M233" s="136"/>
      <c r="N233" s="136"/>
      <c r="O233" s="136"/>
    </row>
    <row r="234" spans="1:15" ht="12.75">
      <c r="A234" s="236"/>
      <c r="B234" s="236"/>
      <c r="C234" s="236"/>
      <c r="D234" s="236"/>
      <c r="E234" s="236"/>
      <c r="F234" s="236"/>
      <c r="G234" s="236"/>
      <c r="H234" s="236"/>
      <c r="I234" s="236"/>
      <c r="J234" s="236"/>
      <c r="K234" s="136"/>
      <c r="L234" s="136"/>
      <c r="M234" s="136"/>
      <c r="N234" s="136"/>
      <c r="O234" s="136"/>
    </row>
    <row r="235" spans="1:15" ht="12.75">
      <c r="A235" s="236"/>
      <c r="B235" s="236"/>
      <c r="C235" s="236"/>
      <c r="D235" s="236"/>
      <c r="E235" s="236"/>
      <c r="F235" s="236"/>
      <c r="G235" s="236"/>
      <c r="H235" s="236"/>
      <c r="I235" s="236"/>
      <c r="J235" s="236"/>
      <c r="K235" s="136"/>
      <c r="L235" s="136"/>
      <c r="M235" s="136"/>
      <c r="N235" s="136"/>
      <c r="O235" s="136"/>
    </row>
    <row r="236" spans="1:15" ht="12.75">
      <c r="A236" s="236"/>
      <c r="B236" s="236"/>
      <c r="C236" s="236"/>
      <c r="D236" s="236"/>
      <c r="E236" s="236"/>
      <c r="F236" s="236"/>
      <c r="G236" s="236"/>
      <c r="H236" s="236"/>
      <c r="I236" s="236"/>
      <c r="J236" s="236"/>
      <c r="K236" s="136"/>
      <c r="L236" s="136"/>
      <c r="M236" s="136"/>
      <c r="N236" s="136"/>
      <c r="O236" s="136"/>
    </row>
    <row r="237" spans="1:15" ht="12.75">
      <c r="A237" s="236"/>
      <c r="B237" s="236"/>
      <c r="C237" s="236"/>
      <c r="D237" s="236"/>
      <c r="E237" s="236"/>
      <c r="F237" s="236"/>
      <c r="G237" s="236"/>
      <c r="H237" s="236"/>
      <c r="I237" s="236"/>
      <c r="J237" s="236"/>
      <c r="K237" s="136"/>
      <c r="L237" s="136"/>
      <c r="M237" s="136"/>
      <c r="N237" s="136"/>
      <c r="O237" s="136"/>
    </row>
    <row r="238" spans="1:15" ht="12.75">
      <c r="A238" s="236"/>
      <c r="B238" s="236"/>
      <c r="C238" s="236"/>
      <c r="D238" s="236"/>
      <c r="E238" s="236"/>
      <c r="F238" s="236"/>
      <c r="G238" s="236"/>
      <c r="H238" s="236"/>
      <c r="I238" s="236"/>
      <c r="J238" s="236"/>
      <c r="K238" s="136"/>
      <c r="L238" s="136"/>
      <c r="M238" s="136"/>
      <c r="N238" s="136"/>
      <c r="O238" s="136"/>
    </row>
    <row r="239" spans="1:15" ht="12.75">
      <c r="A239" s="236"/>
      <c r="B239" s="236"/>
      <c r="C239" s="236"/>
      <c r="D239" s="236"/>
      <c r="E239" s="236"/>
      <c r="F239" s="236"/>
      <c r="G239" s="236"/>
      <c r="H239" s="236"/>
      <c r="I239" s="236"/>
      <c r="J239" s="236"/>
      <c r="K239" s="136"/>
      <c r="L239" s="136"/>
      <c r="M239" s="136"/>
      <c r="N239" s="136"/>
      <c r="O239" s="136"/>
    </row>
    <row r="240" spans="1:15" ht="12.75">
      <c r="A240" s="236"/>
      <c r="B240" s="236"/>
      <c r="C240" s="236"/>
      <c r="D240" s="236"/>
      <c r="E240" s="236"/>
      <c r="F240" s="236"/>
      <c r="G240" s="236"/>
      <c r="H240" s="236"/>
      <c r="I240" s="236"/>
      <c r="J240" s="236"/>
      <c r="K240" s="136"/>
      <c r="L240" s="136"/>
      <c r="M240" s="136"/>
      <c r="N240" s="136"/>
      <c r="O240" s="136"/>
    </row>
    <row r="241" spans="1:15" ht="12.75">
      <c r="A241" s="236"/>
      <c r="B241" s="236"/>
      <c r="C241" s="236"/>
      <c r="D241" s="236"/>
      <c r="E241" s="236"/>
      <c r="F241" s="236"/>
      <c r="G241" s="236"/>
      <c r="H241" s="236"/>
      <c r="I241" s="236"/>
      <c r="J241" s="236"/>
      <c r="K241" s="136"/>
      <c r="L241" s="136"/>
      <c r="M241" s="136"/>
      <c r="N241" s="136"/>
      <c r="O241" s="136"/>
    </row>
    <row r="242" spans="1:15" ht="12.75">
      <c r="A242" s="236"/>
      <c r="B242" s="236"/>
      <c r="C242" s="236"/>
      <c r="D242" s="236"/>
      <c r="E242" s="236"/>
      <c r="F242" s="236"/>
      <c r="G242" s="236"/>
      <c r="H242" s="236"/>
      <c r="I242" s="236"/>
      <c r="J242" s="236"/>
      <c r="K242" s="136"/>
      <c r="L242" s="136"/>
      <c r="M242" s="136"/>
      <c r="N242" s="136"/>
      <c r="O242" s="136"/>
    </row>
    <row r="243" spans="1:15" ht="12.75">
      <c r="A243" s="236"/>
      <c r="B243" s="236"/>
      <c r="C243" s="236"/>
      <c r="D243" s="236"/>
      <c r="E243" s="236"/>
      <c r="F243" s="236"/>
      <c r="G243" s="236"/>
      <c r="H243" s="236"/>
      <c r="I243" s="236"/>
      <c r="J243" s="236"/>
      <c r="K243" s="136"/>
      <c r="L243" s="136"/>
      <c r="M243" s="136"/>
      <c r="N243" s="136"/>
      <c r="O243" s="136"/>
    </row>
    <row r="244" spans="1:15" ht="12.75">
      <c r="A244" s="236"/>
      <c r="B244" s="236"/>
      <c r="C244" s="236"/>
      <c r="D244" s="236"/>
      <c r="E244" s="236"/>
      <c r="F244" s="236"/>
      <c r="G244" s="236"/>
      <c r="H244" s="236"/>
      <c r="I244" s="236"/>
      <c r="J244" s="236"/>
      <c r="K244" s="136"/>
      <c r="L244" s="136"/>
      <c r="M244" s="136"/>
      <c r="N244" s="136"/>
      <c r="O244" s="136"/>
    </row>
    <row r="245" spans="1:15" ht="12.75">
      <c r="A245" s="236"/>
      <c r="B245" s="236"/>
      <c r="C245" s="236"/>
      <c r="D245" s="236"/>
      <c r="E245" s="236"/>
      <c r="F245" s="236"/>
      <c r="G245" s="236"/>
      <c r="H245" s="236"/>
      <c r="I245" s="236"/>
      <c r="J245" s="236"/>
      <c r="K245" s="136"/>
      <c r="L245" s="136"/>
      <c r="M245" s="136"/>
      <c r="N245" s="136"/>
      <c r="O245" s="136"/>
    </row>
    <row r="246" spans="1:15" ht="12.7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</row>
    <row r="247" spans="1:15" ht="12.75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</row>
    <row r="248" spans="1:15" ht="12.75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</row>
    <row r="249" spans="1:15" ht="12.75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</row>
    <row r="250" spans="1:15" ht="12.7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</row>
    <row r="251" spans="1:15" ht="12.7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</row>
    <row r="252" spans="1:15" ht="12.75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</row>
    <row r="253" spans="1:15" ht="12.7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</row>
    <row r="254" spans="1:15" ht="12.75">
      <c r="A254" s="136"/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</row>
    <row r="255" spans="1:15" ht="12.75">
      <c r="A255" s="136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</row>
    <row r="256" spans="1:15" ht="12.75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</row>
    <row r="257" spans="1:15" ht="12.7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</row>
    <row r="258" spans="1:15" ht="12.75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</row>
    <row r="259" spans="1:15" ht="12.75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</row>
    <row r="260" spans="1:15" ht="12.7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</row>
    <row r="261" spans="1:15" ht="12.75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</row>
    <row r="262" spans="1:15" ht="12.75">
      <c r="A262" s="136"/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</row>
    <row r="263" spans="1:15" ht="12.75">
      <c r="A263" s="136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</row>
    <row r="264" spans="1:15" ht="12.75">
      <c r="A264" s="136"/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</row>
    <row r="265" spans="1:15" ht="12.75">
      <c r="A265" s="136"/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</row>
    <row r="266" spans="1:15" ht="12.75">
      <c r="A266" s="136"/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</row>
    <row r="267" spans="1:15" ht="12.75">
      <c r="A267" s="136"/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</row>
    <row r="268" spans="1:15" ht="12.75">
      <c r="A268" s="136"/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</row>
    <row r="269" spans="1:15" ht="12.75">
      <c r="A269" s="136"/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</row>
    <row r="270" spans="1:15" ht="12.75">
      <c r="A270" s="136"/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</row>
    <row r="271" spans="1:15" ht="12.75">
      <c r="A271" s="136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</row>
    <row r="272" spans="1:15" ht="12.75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</row>
    <row r="273" spans="1:15" ht="12.75">
      <c r="A273" s="136"/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</row>
    <row r="274" spans="1:15" ht="12.75">
      <c r="A274" s="136"/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</row>
    <row r="275" spans="1:15" ht="12.75">
      <c r="A275" s="136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</row>
    <row r="276" spans="1:15" ht="12.75">
      <c r="A276" s="136"/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</row>
    <row r="277" spans="1:15" ht="12.75">
      <c r="A277" s="136"/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</row>
    <row r="278" spans="1:15" ht="12.75">
      <c r="A278" s="136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</row>
    <row r="279" spans="1:15" ht="12.75">
      <c r="A279" s="136"/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</row>
    <row r="280" spans="1:15" ht="12.75">
      <c r="A280" s="136"/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</row>
    <row r="281" spans="1:15" ht="12.75">
      <c r="A281" s="136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</row>
    <row r="282" spans="1:15" ht="12.75">
      <c r="A282" s="136"/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</row>
    <row r="283" spans="1:15" ht="12.75">
      <c r="A283" s="136"/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</row>
    <row r="284" spans="1:15" ht="12.75">
      <c r="A284" s="136"/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</row>
    <row r="285" spans="1:15" ht="12.75">
      <c r="A285" s="136"/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</row>
    <row r="286" spans="1:15" ht="12.75">
      <c r="A286" s="136"/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</row>
    <row r="287" spans="1:15" ht="12.75">
      <c r="A287" s="136"/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</row>
    <row r="288" spans="1:15" ht="12.75">
      <c r="A288" s="136"/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1:15" ht="12.75">
      <c r="A289" s="136"/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</row>
    <row r="290" spans="1:15" ht="12.75">
      <c r="A290" s="136"/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</row>
    <row r="291" spans="1:15" ht="12.75">
      <c r="A291" s="136"/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</row>
    <row r="292" spans="1:15" ht="12.75">
      <c r="A292" s="136"/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</row>
    <row r="293" spans="1:15" ht="12.75">
      <c r="A293" s="136"/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</row>
    <row r="294" spans="1:15" ht="12.75">
      <c r="A294" s="136"/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</row>
    <row r="295" spans="1:15" ht="12.75">
      <c r="A295" s="136"/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</row>
    <row r="296" spans="1:15" ht="12.75">
      <c r="A296" s="136"/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</row>
    <row r="297" spans="1:15" ht="12.75">
      <c r="A297" s="136"/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</row>
    <row r="298" spans="1:15" ht="12.75">
      <c r="A298" s="136"/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1:15" ht="12.75">
      <c r="A299" s="136"/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</row>
    <row r="300" spans="1:15" ht="12.75">
      <c r="A300" s="136"/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</row>
    <row r="301" spans="1:15" ht="12.75">
      <c r="A301" s="136"/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</row>
    <row r="302" spans="1:15" ht="12.75">
      <c r="A302" s="136"/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</row>
    <row r="303" spans="1:15" ht="12.75">
      <c r="A303" s="136"/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</row>
    <row r="304" spans="1:15" ht="12.75">
      <c r="A304" s="136"/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</row>
    <row r="305" spans="1:15" ht="12.75">
      <c r="A305" s="136"/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</row>
    <row r="306" spans="1:15" ht="12.75">
      <c r="A306" s="136"/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</row>
    <row r="307" spans="1:15" ht="12.75">
      <c r="A307" s="136"/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</row>
    <row r="308" spans="1:15" ht="12.75">
      <c r="A308" s="136"/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</row>
    <row r="309" spans="1:15" ht="12.75">
      <c r="A309" s="136"/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</row>
    <row r="310" spans="1:15" ht="12.75">
      <c r="A310" s="136"/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</row>
    <row r="311" spans="1:15" ht="12.75">
      <c r="A311" s="136"/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</row>
    <row r="312" spans="1:15" ht="12.75">
      <c r="A312" s="136"/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</row>
    <row r="313" spans="1:15" ht="12.75">
      <c r="A313" s="136"/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</row>
    <row r="314" spans="1:15" ht="12.75">
      <c r="A314" s="136"/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</row>
    <row r="315" spans="1:15" ht="12.75">
      <c r="A315" s="136"/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</row>
    <row r="316" spans="1:15" ht="12.75">
      <c r="A316" s="136"/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17" spans="1:15" ht="12.75">
      <c r="A317" s="136"/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</row>
    <row r="318" spans="1:15" ht="12.75">
      <c r="A318" s="136"/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</row>
    <row r="319" spans="1:15" ht="12.75">
      <c r="A319" s="136"/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</row>
    <row r="320" spans="1:15" ht="12.75">
      <c r="A320" s="136"/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</row>
    <row r="321" spans="1:15" ht="12.75">
      <c r="A321" s="136"/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</row>
    <row r="322" spans="1:15" ht="12.75">
      <c r="A322" s="136"/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</row>
    <row r="323" spans="1:15" ht="12.75">
      <c r="A323" s="136"/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</row>
    <row r="324" spans="1:15" ht="12.75">
      <c r="A324" s="136"/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</row>
    <row r="325" spans="1:15" ht="12.75">
      <c r="A325" s="136"/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</row>
    <row r="326" spans="1:15" ht="12.75">
      <c r="A326" s="136"/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</row>
    <row r="327" spans="1:15" ht="12.75">
      <c r="A327" s="136"/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</row>
    <row r="328" spans="1:15" ht="12.75">
      <c r="A328" s="136"/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</row>
    <row r="329" spans="1:15" ht="12.75">
      <c r="A329" s="136"/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</row>
    <row r="330" spans="1:15" ht="12.75">
      <c r="A330" s="136"/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</row>
    <row r="331" spans="1:15" ht="12.75">
      <c r="A331" s="136"/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</row>
    <row r="332" spans="1:15" ht="12.75">
      <c r="A332" s="136"/>
      <c r="B332" s="13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</row>
    <row r="333" spans="1:15" ht="12.75">
      <c r="A333" s="136"/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</row>
    <row r="334" spans="1:15" ht="12.75">
      <c r="A334" s="136"/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</row>
    <row r="335" spans="1:15" ht="12.75">
      <c r="A335" s="136"/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</row>
    <row r="336" spans="1:15" ht="12.75">
      <c r="A336" s="136"/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</row>
    <row r="337" spans="1:15" ht="12.75">
      <c r="A337" s="136"/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</row>
    <row r="338" spans="1:15" ht="12.75">
      <c r="A338" s="136"/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</row>
    <row r="339" spans="1:15" ht="12.75">
      <c r="A339" s="136"/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</row>
    <row r="340" spans="1:15" ht="12.75">
      <c r="A340" s="136"/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</row>
    <row r="341" spans="1:15" ht="12.75">
      <c r="A341" s="136"/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</row>
    <row r="342" spans="1:15" ht="12.75">
      <c r="A342" s="136"/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</row>
    <row r="343" spans="1:15" ht="12.75">
      <c r="A343" s="136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</row>
    <row r="344" spans="1:15" ht="12.75">
      <c r="A344" s="136"/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</row>
  </sheetData>
  <sheetProtection/>
  <printOptions horizontalCentered="1"/>
  <pageMargins left="0.75" right="0.75" top="1" bottom="1" header="0.5" footer="0.5"/>
  <pageSetup blackAndWhite="1" fitToHeight="1" fitToWidth="1"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60" zoomScaleNormal="60" zoomScalePageLayoutView="0" workbookViewId="0" topLeftCell="A1">
      <selection activeCell="D36" sqref="D36"/>
    </sheetView>
  </sheetViews>
  <sheetFormatPr defaultColWidth="9.140625" defaultRowHeight="12.75"/>
  <cols>
    <col min="1" max="1" width="37.421875" style="100" customWidth="1"/>
    <col min="2" max="2" width="16.8515625" style="100" customWidth="1"/>
    <col min="3" max="3" width="13.57421875" style="100" customWidth="1"/>
    <col min="4" max="4" width="15.421875" style="100" customWidth="1"/>
    <col min="5" max="5" width="13.57421875" style="100" customWidth="1"/>
    <col min="6" max="7" width="14.00390625" style="100" customWidth="1"/>
    <col min="8" max="8" width="12.140625" style="100" customWidth="1"/>
    <col min="9" max="9" width="15.00390625" style="100" customWidth="1"/>
    <col min="10" max="10" width="13.8515625" style="100" customWidth="1"/>
    <col min="11" max="11" width="12.140625" style="100" customWidth="1"/>
    <col min="12" max="16384" width="9.140625" style="100" customWidth="1"/>
  </cols>
  <sheetData>
    <row r="1" spans="1:11" ht="23.25">
      <c r="A1" s="98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8">
      <c r="A2" s="101" t="s">
        <v>34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8">
      <c r="A3" s="101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8">
      <c r="A4" s="121">
        <f ca="1">NOW()</f>
        <v>44274.460255555554</v>
      </c>
      <c r="B4" s="102"/>
      <c r="C4" s="102"/>
      <c r="D4" s="102"/>
      <c r="E4" s="102"/>
      <c r="F4" s="102"/>
      <c r="G4" s="102"/>
      <c r="H4" s="101"/>
      <c r="I4" s="102"/>
      <c r="J4" s="102"/>
      <c r="K4" s="102"/>
    </row>
    <row r="5" spans="1:11" ht="18.75" thickBot="1">
      <c r="A5" s="121"/>
      <c r="B5" s="102"/>
      <c r="C5" s="102"/>
      <c r="D5" s="102"/>
      <c r="E5" s="102"/>
      <c r="F5" s="102"/>
      <c r="G5" s="102"/>
      <c r="H5" s="101"/>
      <c r="I5" s="102"/>
      <c r="J5" s="102"/>
      <c r="K5" s="102"/>
    </row>
    <row r="6" spans="1:11" ht="18.75" thickBot="1">
      <c r="A6" s="121"/>
      <c r="B6" s="144" t="s">
        <v>127</v>
      </c>
      <c r="C6" s="144" t="s">
        <v>128</v>
      </c>
      <c r="D6" s="102"/>
      <c r="E6" s="102"/>
      <c r="F6" s="102"/>
      <c r="G6" s="102"/>
      <c r="H6" s="101"/>
      <c r="I6" s="102"/>
      <c r="J6" s="102"/>
      <c r="K6" s="102"/>
    </row>
    <row r="7" spans="1:11" ht="15.75" thickBot="1">
      <c r="A7" s="108" t="s">
        <v>125</v>
      </c>
      <c r="B7" s="142">
        <f>CLASS_1_PRiCE</f>
        <v>0</v>
      </c>
      <c r="C7" s="143">
        <f>INPUT!B11</f>
        <v>0</v>
      </c>
      <c r="D7" s="105"/>
      <c r="E7" s="105"/>
      <c r="F7" s="105"/>
      <c r="G7" s="105"/>
      <c r="H7" s="105"/>
      <c r="I7" s="105"/>
      <c r="J7" s="112"/>
      <c r="K7" s="105"/>
    </row>
    <row r="8" spans="1:11" ht="15.75" thickBot="1">
      <c r="A8" s="108" t="s">
        <v>126</v>
      </c>
      <c r="B8" s="157">
        <f>INPUT!B10</f>
        <v>0</v>
      </c>
      <c r="C8" s="141">
        <f>BF_DIFF</f>
        <v>0</v>
      </c>
      <c r="D8" s="105"/>
      <c r="E8" s="105"/>
      <c r="F8" s="105"/>
      <c r="G8" s="105"/>
      <c r="H8" s="105"/>
      <c r="I8" s="105"/>
      <c r="J8" s="112"/>
      <c r="K8" s="105"/>
    </row>
    <row r="9" spans="1:11" ht="15.75" thickBot="1">
      <c r="A9" s="105"/>
      <c r="B9" s="113"/>
      <c r="C9" s="105"/>
      <c r="D9" s="105"/>
      <c r="E9" s="105"/>
      <c r="F9" s="105"/>
      <c r="G9" s="105"/>
      <c r="H9" s="105"/>
      <c r="I9" s="114"/>
      <c r="J9" s="115"/>
      <c r="K9" s="105"/>
    </row>
    <row r="10" spans="1:11" ht="15">
      <c r="A10" s="105"/>
      <c r="B10" s="103" t="s">
        <v>36</v>
      </c>
      <c r="C10" s="104" t="s">
        <v>37</v>
      </c>
      <c r="D10" s="104" t="s">
        <v>38</v>
      </c>
      <c r="E10" s="104" t="s">
        <v>37</v>
      </c>
      <c r="F10" s="104" t="s">
        <v>23</v>
      </c>
      <c r="G10" s="104" t="s">
        <v>36</v>
      </c>
      <c r="H10" s="104" t="s">
        <v>39</v>
      </c>
      <c r="I10" s="104" t="s">
        <v>86</v>
      </c>
      <c r="J10" s="104" t="s">
        <v>47</v>
      </c>
      <c r="K10" s="104" t="s">
        <v>39</v>
      </c>
    </row>
    <row r="11" spans="1:11" ht="15.75" thickBot="1">
      <c r="A11" s="105"/>
      <c r="B11" s="106" t="s">
        <v>40</v>
      </c>
      <c r="C11" s="107" t="s">
        <v>40</v>
      </c>
      <c r="D11" s="107" t="s">
        <v>40</v>
      </c>
      <c r="E11" s="107" t="s">
        <v>124</v>
      </c>
      <c r="F11" s="107" t="s">
        <v>124</v>
      </c>
      <c r="G11" s="107" t="s">
        <v>124</v>
      </c>
      <c r="H11" s="107" t="s">
        <v>42</v>
      </c>
      <c r="I11" s="107" t="s">
        <v>48</v>
      </c>
      <c r="J11" s="107" t="s">
        <v>41</v>
      </c>
      <c r="K11" s="107" t="s">
        <v>42</v>
      </c>
    </row>
    <row r="12" spans="1:13" ht="15.75" thickBot="1">
      <c r="A12" s="108" t="s">
        <v>20</v>
      </c>
      <c r="B12" s="160">
        <v>85517409</v>
      </c>
      <c r="C12" s="161">
        <v>2806726</v>
      </c>
      <c r="D12" s="109">
        <f aca="true" t="shared" si="0" ref="D12:D25">(B12-C12)</f>
        <v>82710683</v>
      </c>
      <c r="E12" s="109">
        <f>ROUND($B$8*C12,0)</f>
        <v>0</v>
      </c>
      <c r="F12" s="109">
        <f>ROUND(($B$7*D12)/100,0)</f>
        <v>0</v>
      </c>
      <c r="G12" s="109">
        <f>E12+F12</f>
        <v>0</v>
      </c>
      <c r="H12" s="116">
        <f>ROUND(G12/B12,4)</f>
        <v>0</v>
      </c>
      <c r="I12" s="116">
        <f>INPUT!B69</f>
        <v>0.0037</v>
      </c>
      <c r="J12" s="117">
        <f>+INPUT!B48</f>
        <v>0</v>
      </c>
      <c r="K12" s="118">
        <f aca="true" t="shared" si="1" ref="K12:K25">ROUND(SUM(H12:J12),4)</f>
        <v>0.0037</v>
      </c>
      <c r="M12" s="140"/>
    </row>
    <row r="13" spans="1:13" ht="15.75" thickBot="1">
      <c r="A13" s="108" t="s">
        <v>43</v>
      </c>
      <c r="B13" s="162">
        <v>59196974</v>
      </c>
      <c r="C13" s="163">
        <v>1158011</v>
      </c>
      <c r="D13" s="110">
        <f t="shared" si="0"/>
        <v>58038963</v>
      </c>
      <c r="E13" s="110">
        <f aca="true" t="shared" si="2" ref="E13:E20">ROUND($B$8*C13,0)</f>
        <v>0</v>
      </c>
      <c r="F13" s="110">
        <f aca="true" t="shared" si="3" ref="F13:F20">ROUND(($B$7*D13)/100,0)</f>
        <v>0</v>
      </c>
      <c r="G13" s="110">
        <f aca="true" t="shared" si="4" ref="G13:G20">E13+F13</f>
        <v>0</v>
      </c>
      <c r="H13" s="119">
        <f aca="true" t="shared" si="5" ref="H13:H25">ROUND(G13/B13,4)</f>
        <v>0</v>
      </c>
      <c r="I13" s="119">
        <f>INPUT!B70</f>
        <v>0.0037</v>
      </c>
      <c r="J13" s="117">
        <f>+INPUT!B49</f>
        <v>0.0002</v>
      </c>
      <c r="K13" s="118">
        <f t="shared" si="1"/>
        <v>0.0039</v>
      </c>
      <c r="M13" s="140"/>
    </row>
    <row r="14" spans="1:13" ht="15.75" thickBot="1">
      <c r="A14" s="108" t="s">
        <v>44</v>
      </c>
      <c r="B14" s="162">
        <v>32036401</v>
      </c>
      <c r="C14" s="163">
        <v>307415</v>
      </c>
      <c r="D14" s="110">
        <f t="shared" si="0"/>
        <v>31728986</v>
      </c>
      <c r="E14" s="110">
        <f t="shared" si="2"/>
        <v>0</v>
      </c>
      <c r="F14" s="110">
        <f t="shared" si="3"/>
        <v>0</v>
      </c>
      <c r="G14" s="110">
        <f t="shared" si="4"/>
        <v>0</v>
      </c>
      <c r="H14" s="119">
        <f t="shared" si="5"/>
        <v>0</v>
      </c>
      <c r="I14" s="119">
        <f>INPUT!B71</f>
        <v>0.0037</v>
      </c>
      <c r="J14" s="117">
        <f>+INPUT!B50</f>
        <v>0.0002</v>
      </c>
      <c r="K14" s="118">
        <f t="shared" si="1"/>
        <v>0.0039</v>
      </c>
      <c r="M14" s="140"/>
    </row>
    <row r="15" spans="1:13" ht="15.75" thickBot="1">
      <c r="A15" s="108" t="s">
        <v>45</v>
      </c>
      <c r="B15" s="164">
        <v>19318216</v>
      </c>
      <c r="C15" s="165">
        <v>20141</v>
      </c>
      <c r="D15" s="111">
        <f t="shared" si="0"/>
        <v>19298075</v>
      </c>
      <c r="E15" s="111">
        <f t="shared" si="2"/>
        <v>0</v>
      </c>
      <c r="F15" s="111">
        <f t="shared" si="3"/>
        <v>0</v>
      </c>
      <c r="G15" s="111">
        <f t="shared" si="4"/>
        <v>0</v>
      </c>
      <c r="H15" s="120">
        <f t="shared" si="5"/>
        <v>0</v>
      </c>
      <c r="I15" s="119">
        <f>INPUT!B72</f>
        <v>0.0037</v>
      </c>
      <c r="J15" s="117">
        <f>+INPUT!B51</f>
        <v>0.0006</v>
      </c>
      <c r="K15" s="118">
        <f t="shared" si="1"/>
        <v>0.0043</v>
      </c>
      <c r="M15" s="140"/>
    </row>
    <row r="16" spans="1:13" ht="15.75" thickBot="1">
      <c r="A16" s="108" t="s">
        <v>24</v>
      </c>
      <c r="B16" s="162">
        <v>920565</v>
      </c>
      <c r="C16" s="163">
        <v>27291</v>
      </c>
      <c r="D16" s="111">
        <f t="shared" si="0"/>
        <v>893274</v>
      </c>
      <c r="E16" s="111">
        <f t="shared" si="2"/>
        <v>0</v>
      </c>
      <c r="F16" s="111">
        <f t="shared" si="3"/>
        <v>0</v>
      </c>
      <c r="G16" s="111">
        <f t="shared" si="4"/>
        <v>0</v>
      </c>
      <c r="H16" s="120">
        <f t="shared" si="5"/>
        <v>0</v>
      </c>
      <c r="I16" s="119">
        <f>INPUT!B73</f>
        <v>0.0037</v>
      </c>
      <c r="J16" s="117">
        <f>INPUT!B52</f>
        <v>0</v>
      </c>
      <c r="K16" s="118">
        <f t="shared" si="1"/>
        <v>0.0037</v>
      </c>
      <c r="M16" s="140"/>
    </row>
    <row r="17" spans="1:13" ht="15.75" thickBot="1">
      <c r="A17" s="108" t="s">
        <v>46</v>
      </c>
      <c r="B17" s="162">
        <v>9974716</v>
      </c>
      <c r="C17" s="163">
        <v>95893</v>
      </c>
      <c r="D17" s="111">
        <f t="shared" si="0"/>
        <v>9878823</v>
      </c>
      <c r="E17" s="111">
        <f t="shared" si="2"/>
        <v>0</v>
      </c>
      <c r="F17" s="111">
        <f t="shared" si="3"/>
        <v>0</v>
      </c>
      <c r="G17" s="111">
        <f t="shared" si="4"/>
        <v>0</v>
      </c>
      <c r="H17" s="120">
        <f t="shared" si="5"/>
        <v>0</v>
      </c>
      <c r="I17" s="119">
        <f>INPUT!B74</f>
        <v>0.0037</v>
      </c>
      <c r="J17" s="117">
        <f>INPUT!B53</f>
        <v>0</v>
      </c>
      <c r="K17" s="118">
        <f t="shared" si="1"/>
        <v>0.0037</v>
      </c>
      <c r="M17" s="140"/>
    </row>
    <row r="18" spans="1:13" ht="15.75" thickBot="1">
      <c r="A18" s="108" t="s">
        <v>179</v>
      </c>
      <c r="B18" s="164">
        <v>10965985</v>
      </c>
      <c r="C18" s="165">
        <v>11135</v>
      </c>
      <c r="D18" s="111">
        <f t="shared" si="0"/>
        <v>10954850</v>
      </c>
      <c r="E18" s="111">
        <f t="shared" si="2"/>
        <v>0</v>
      </c>
      <c r="F18" s="111">
        <f t="shared" si="3"/>
        <v>0</v>
      </c>
      <c r="G18" s="111">
        <f t="shared" si="4"/>
        <v>0</v>
      </c>
      <c r="H18" s="120">
        <f t="shared" si="5"/>
        <v>0</v>
      </c>
      <c r="I18" s="119">
        <f>INPUT!B75</f>
        <v>0.0037</v>
      </c>
      <c r="J18" s="117">
        <f>INPUT!B54</f>
        <v>0</v>
      </c>
      <c r="K18" s="118">
        <f t="shared" si="1"/>
        <v>0.0037</v>
      </c>
      <c r="M18" s="140"/>
    </row>
    <row r="19" spans="1:13" ht="15.75" thickBot="1">
      <c r="A19" s="108" t="s">
        <v>26</v>
      </c>
      <c r="B19" s="164">
        <v>2313652</v>
      </c>
      <c r="C19" s="165">
        <v>46572</v>
      </c>
      <c r="D19" s="111">
        <f t="shared" si="0"/>
        <v>2267080</v>
      </c>
      <c r="E19" s="111">
        <f t="shared" si="2"/>
        <v>0</v>
      </c>
      <c r="F19" s="111">
        <f t="shared" si="3"/>
        <v>0</v>
      </c>
      <c r="G19" s="111">
        <f t="shared" si="4"/>
        <v>0</v>
      </c>
      <c r="H19" s="120">
        <f t="shared" si="5"/>
        <v>0</v>
      </c>
      <c r="I19" s="119">
        <f>INPUT!B75</f>
        <v>0.0037</v>
      </c>
      <c r="J19" s="117">
        <f>INPUT!B55</f>
        <v>0.0044</v>
      </c>
      <c r="K19" s="118">
        <f t="shared" si="1"/>
        <v>0.0081</v>
      </c>
      <c r="M19" s="140"/>
    </row>
    <row r="20" spans="1:13" ht="15.75" thickBot="1">
      <c r="A20" s="108" t="s">
        <v>134</v>
      </c>
      <c r="B20" s="165">
        <v>1203727</v>
      </c>
      <c r="C20" s="165">
        <v>84418</v>
      </c>
      <c r="D20" s="111">
        <f t="shared" si="0"/>
        <v>1119309</v>
      </c>
      <c r="E20" s="111">
        <f t="shared" si="2"/>
        <v>0</v>
      </c>
      <c r="F20" s="111">
        <f t="shared" si="3"/>
        <v>0</v>
      </c>
      <c r="G20" s="111">
        <f t="shared" si="4"/>
        <v>0</v>
      </c>
      <c r="H20" s="120">
        <f t="shared" si="5"/>
        <v>0</v>
      </c>
      <c r="I20" s="119">
        <f>INPUT!B76</f>
        <v>0.0037</v>
      </c>
      <c r="J20" s="117">
        <f>INPUT!B56</f>
        <v>0.0962</v>
      </c>
      <c r="K20" s="118">
        <f t="shared" si="1"/>
        <v>0.0999</v>
      </c>
      <c r="M20" s="140"/>
    </row>
    <row r="21" spans="1:11" ht="15.75" thickBot="1">
      <c r="A21" s="108" t="s">
        <v>49</v>
      </c>
      <c r="B21" s="166">
        <v>10269943</v>
      </c>
      <c r="C21" s="165">
        <v>1083181</v>
      </c>
      <c r="D21" s="111">
        <f t="shared" si="0"/>
        <v>9186762</v>
      </c>
      <c r="E21" s="111">
        <f>ROUND($C$8*C21,0)</f>
        <v>0</v>
      </c>
      <c r="F21" s="111">
        <f>ROUND(($C$7*D21)/100,0)</f>
        <v>0</v>
      </c>
      <c r="G21" s="111">
        <f>E21+F21</f>
        <v>0</v>
      </c>
      <c r="H21" s="120">
        <f t="shared" si="5"/>
        <v>0</v>
      </c>
      <c r="I21" s="120"/>
      <c r="J21" s="120"/>
      <c r="K21" s="117">
        <f t="shared" si="1"/>
        <v>0</v>
      </c>
    </row>
    <row r="22" spans="1:11" ht="15.75" thickBot="1">
      <c r="A22" s="108" t="s">
        <v>67</v>
      </c>
      <c r="B22" s="166">
        <v>1710872</v>
      </c>
      <c r="C22" s="165">
        <v>314010</v>
      </c>
      <c r="D22" s="111">
        <f t="shared" si="0"/>
        <v>1396862</v>
      </c>
      <c r="E22" s="111">
        <f>ROUND($C$8*C22,0)</f>
        <v>0</v>
      </c>
      <c r="F22" s="111">
        <f>ROUND(($C$7*D22)/100,0)</f>
        <v>0</v>
      </c>
      <c r="G22" s="111">
        <f>E22+F22</f>
        <v>0</v>
      </c>
      <c r="H22" s="120">
        <f t="shared" si="5"/>
        <v>0</v>
      </c>
      <c r="I22" s="120"/>
      <c r="J22" s="120"/>
      <c r="K22" s="117">
        <f t="shared" si="1"/>
        <v>0</v>
      </c>
    </row>
    <row r="23" spans="1:11" ht="15.75" thickBot="1">
      <c r="A23" s="108" t="s">
        <v>50</v>
      </c>
      <c r="B23" s="166">
        <v>100000</v>
      </c>
      <c r="C23" s="165">
        <v>30000</v>
      </c>
      <c r="D23" s="111">
        <f t="shared" si="0"/>
        <v>70000</v>
      </c>
      <c r="E23" s="111">
        <f>ROUND($C$8*C23,0)</f>
        <v>0</v>
      </c>
      <c r="F23" s="111">
        <f>ROUND(($C$7*D23)/100,0)</f>
        <v>0</v>
      </c>
      <c r="G23" s="111">
        <f>E23+F23</f>
        <v>0</v>
      </c>
      <c r="H23" s="120">
        <f t="shared" si="5"/>
        <v>0</v>
      </c>
      <c r="I23" s="120"/>
      <c r="J23" s="120"/>
      <c r="K23" s="117">
        <f t="shared" si="1"/>
        <v>0</v>
      </c>
    </row>
    <row r="24" spans="1:11" ht="15.75" thickBot="1">
      <c r="A24" s="108" t="s">
        <v>51</v>
      </c>
      <c r="B24" s="166">
        <v>2327124</v>
      </c>
      <c r="C24" s="165">
        <v>877534</v>
      </c>
      <c r="D24" s="111">
        <f>(B24-C24)</f>
        <v>1449590</v>
      </c>
      <c r="E24" s="111">
        <f>ROUND($C$8*C24,0)</f>
        <v>0</v>
      </c>
      <c r="F24" s="111">
        <f>ROUND(($C$7*D24)/100,0)</f>
        <v>0</v>
      </c>
      <c r="G24" s="111">
        <f>E24+F24</f>
        <v>0</v>
      </c>
      <c r="H24" s="120">
        <f>ROUND(G24/B24,4)</f>
        <v>0</v>
      </c>
      <c r="I24" s="120"/>
      <c r="J24" s="120"/>
      <c r="K24" s="117">
        <f>ROUND(SUM(H24:J24),4)</f>
        <v>0</v>
      </c>
    </row>
    <row r="25" spans="1:11" ht="15.75" thickBot="1">
      <c r="A25" s="108" t="s">
        <v>68</v>
      </c>
      <c r="B25" s="166">
        <v>100000</v>
      </c>
      <c r="C25" s="165">
        <v>18000</v>
      </c>
      <c r="D25" s="111">
        <f t="shared" si="0"/>
        <v>82000</v>
      </c>
      <c r="E25" s="111">
        <f>ROUND($C$8*C25,0)</f>
        <v>0</v>
      </c>
      <c r="F25" s="111">
        <f>ROUND(($C$7*D25)/100,0)</f>
        <v>0</v>
      </c>
      <c r="G25" s="111">
        <f>E25+F25</f>
        <v>0</v>
      </c>
      <c r="H25" s="120">
        <f t="shared" si="5"/>
        <v>0</v>
      </c>
      <c r="I25" s="120"/>
      <c r="J25" s="120"/>
      <c r="K25" s="117">
        <f t="shared" si="1"/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70" r:id="rId1"/>
  <headerFooter alignWithMargins="0">
    <oddFooter>&amp;L&amp;D&amp;CPage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4" t="s">
        <v>33</v>
      </c>
      <c r="B1" s="4"/>
      <c r="C1" s="4"/>
      <c r="D1" s="4"/>
      <c r="E1" s="4"/>
      <c r="F1" s="4"/>
      <c r="G1" s="4"/>
    </row>
    <row r="2" spans="1:7" ht="12.75">
      <c r="A2" s="4" t="s">
        <v>52</v>
      </c>
      <c r="B2" s="4"/>
      <c r="C2" s="4"/>
      <c r="D2" s="4"/>
      <c r="E2" s="4"/>
      <c r="F2" s="4"/>
      <c r="G2" s="4"/>
    </row>
    <row r="3" spans="1:7" ht="13.5" thickBot="1">
      <c r="A3" s="122">
        <f ca="1">NOW()</f>
        <v>44274.460255555554</v>
      </c>
      <c r="B3" s="4"/>
      <c r="C3" s="4"/>
      <c r="D3" s="4"/>
      <c r="E3" s="4"/>
      <c r="F3" s="4"/>
      <c r="G3" s="4"/>
    </row>
    <row r="4" spans="2:7" ht="13.5" thickTop="1">
      <c r="B4" s="5" t="s">
        <v>53</v>
      </c>
      <c r="C4" s="5" t="s">
        <v>54</v>
      </c>
      <c r="D4" s="5" t="s">
        <v>55</v>
      </c>
      <c r="E4" s="5" t="s">
        <v>150</v>
      </c>
      <c r="F4" s="5" t="s">
        <v>56</v>
      </c>
      <c r="G4" s="5" t="s">
        <v>36</v>
      </c>
    </row>
    <row r="5" spans="2:7" ht="13.5" thickBot="1">
      <c r="B5" s="6" t="s">
        <v>57</v>
      </c>
      <c r="C5" s="6" t="s">
        <v>41</v>
      </c>
      <c r="D5" s="6" t="s">
        <v>41</v>
      </c>
      <c r="E5" s="6" t="s">
        <v>41</v>
      </c>
      <c r="F5" s="6" t="s">
        <v>41</v>
      </c>
      <c r="G5" s="6" t="s">
        <v>41</v>
      </c>
    </row>
    <row r="6" spans="1:7" ht="14.25" thickBot="1" thickTop="1">
      <c r="A6" s="7" t="s">
        <v>20</v>
      </c>
      <c r="B6" s="14"/>
      <c r="C6" s="15"/>
      <c r="D6" s="15"/>
      <c r="E6" s="15"/>
      <c r="F6" s="15"/>
      <c r="G6" s="15"/>
    </row>
    <row r="7" spans="1:7" ht="13.5" thickTop="1">
      <c r="A7" s="13" t="s">
        <v>13</v>
      </c>
      <c r="B7" s="17">
        <v>8.6</v>
      </c>
      <c r="C7" s="12">
        <f>ROUND(B7*RAW!$K$12,4)</f>
        <v>0.0318</v>
      </c>
      <c r="D7" s="16">
        <f>INPUT!$B$22</f>
        <v>0</v>
      </c>
      <c r="E7" s="16">
        <f>E9*4</f>
        <v>0</v>
      </c>
      <c r="F7" s="12">
        <f>+F9*4</f>
        <v>1.3912</v>
      </c>
      <c r="G7" s="16">
        <f>ROUND(SUM(C7:F7),4)</f>
        <v>1.423</v>
      </c>
    </row>
    <row r="8" spans="1:7" ht="12.75">
      <c r="A8" s="13" t="s">
        <v>58</v>
      </c>
      <c r="B8" s="17">
        <v>4.3</v>
      </c>
      <c r="C8" s="12">
        <f>ROUND(B8*RAW!$K$12,4)</f>
        <v>0.0159</v>
      </c>
      <c r="D8" s="16">
        <f>INPUT!$B$23</f>
        <v>0</v>
      </c>
      <c r="E8" s="16">
        <f>E9*2</f>
        <v>0</v>
      </c>
      <c r="F8" s="12">
        <f>+F9*2</f>
        <v>0.6956</v>
      </c>
      <c r="G8" s="16">
        <f aca="true" t="shared" si="0" ref="G8:G15">ROUND(SUM(C8:F8),4)</f>
        <v>0.7115</v>
      </c>
    </row>
    <row r="9" spans="1:7" ht="12.75">
      <c r="A9" s="13" t="s">
        <v>15</v>
      </c>
      <c r="B9" s="17">
        <v>2.15</v>
      </c>
      <c r="C9" s="12">
        <f>ROUND(B9*RAW!$K$12,4)</f>
        <v>0.008</v>
      </c>
      <c r="D9" s="16">
        <f>INPUT!$B$24</f>
        <v>0</v>
      </c>
      <c r="E9" s="16">
        <f>INPUT!B$44</f>
        <v>0</v>
      </c>
      <c r="F9" s="12">
        <f>INPUT!$B$39</f>
        <v>0.3478</v>
      </c>
      <c r="G9" s="16">
        <f t="shared" si="0"/>
        <v>0.3558</v>
      </c>
    </row>
    <row r="10" spans="1:7" ht="12.75">
      <c r="A10" s="13" t="s">
        <v>16</v>
      </c>
      <c r="B10" s="17">
        <v>1.075</v>
      </c>
      <c r="C10" s="12">
        <f>ROUND(B10*RAW!$K$12,4)</f>
        <v>0.004</v>
      </c>
      <c r="D10" s="16">
        <f>INPUT!$B$25</f>
        <v>0</v>
      </c>
      <c r="E10" s="16">
        <f>ROUND(E9/2,4)</f>
        <v>0</v>
      </c>
      <c r="F10" s="12">
        <f>ROUND($F$9/2,4)</f>
        <v>0.1739</v>
      </c>
      <c r="G10" s="16">
        <f t="shared" si="0"/>
        <v>0.1779</v>
      </c>
    </row>
    <row r="11" spans="1:7" ht="12.75">
      <c r="A11" s="8" t="s">
        <v>153</v>
      </c>
      <c r="B11" s="17">
        <f>B12*1.2</f>
        <v>0.80625</v>
      </c>
      <c r="C11" s="12">
        <f>ROUND(B11*RAW!$K$12,4)</f>
        <v>0.003</v>
      </c>
      <c r="D11" s="16">
        <f>INPUT!$B$26</f>
        <v>0.0361</v>
      </c>
      <c r="E11" s="16">
        <f>ROUND(E7/32*12,4)</f>
        <v>0</v>
      </c>
      <c r="F11" s="12">
        <f>ROUND($F$9/32*12,4)</f>
        <v>0.1304</v>
      </c>
      <c r="G11" s="16">
        <f t="shared" si="0"/>
        <v>0.1695</v>
      </c>
    </row>
    <row r="12" spans="1:7" ht="12.75">
      <c r="A12" s="13" t="s">
        <v>59</v>
      </c>
      <c r="B12" s="17">
        <v>0.671875</v>
      </c>
      <c r="C12" s="12">
        <f>ROUND(B12*RAW!$K$12,4)</f>
        <v>0.0025</v>
      </c>
      <c r="D12" s="16">
        <f>INPUT!$B$27</f>
        <v>0.0301</v>
      </c>
      <c r="E12" s="16">
        <f>ROUND(E9/32*10,4)</f>
        <v>0</v>
      </c>
      <c r="F12" s="12">
        <f>ROUND($F$9/32*10,4)</f>
        <v>0.1087</v>
      </c>
      <c r="G12" s="16">
        <f t="shared" si="0"/>
        <v>0.1413</v>
      </c>
    </row>
    <row r="13" spans="1:7" ht="12.75">
      <c r="A13" s="13" t="s">
        <v>60</v>
      </c>
      <c r="B13" s="17">
        <v>0.5375</v>
      </c>
      <c r="C13" s="12">
        <f>ROUND(B13*RAW!$K$12,4)</f>
        <v>0.002</v>
      </c>
      <c r="D13" s="16">
        <f>INPUT!$B$28</f>
        <v>0</v>
      </c>
      <c r="E13" s="16">
        <f>ROUND(E9/4,4)</f>
        <v>0</v>
      </c>
      <c r="F13" s="12">
        <f>ROUND($F$9/4,4)</f>
        <v>0.087</v>
      </c>
      <c r="G13" s="16">
        <f t="shared" si="0"/>
        <v>0.089</v>
      </c>
    </row>
    <row r="14" spans="1:7" ht="12.75">
      <c r="A14" s="13" t="s">
        <v>61</v>
      </c>
      <c r="B14" s="17">
        <v>0.26875</v>
      </c>
      <c r="C14" s="12">
        <f>ROUND(B14*RAW!$K$12,4)</f>
        <v>0.001</v>
      </c>
      <c r="D14" s="16">
        <f>INPUT!$B$30</f>
        <v>0.0205</v>
      </c>
      <c r="E14" s="16">
        <f>ROUND(E9/32*4,4)</f>
        <v>0</v>
      </c>
      <c r="F14" s="12">
        <f>ROUND($F$9/8,4)</f>
        <v>0.0435</v>
      </c>
      <c r="G14" s="16">
        <f t="shared" si="0"/>
        <v>0.065</v>
      </c>
    </row>
    <row r="15" spans="1:7" ht="13.5" thickBot="1">
      <c r="A15" s="13" t="s">
        <v>62</v>
      </c>
      <c r="B15" s="17">
        <v>2.15</v>
      </c>
      <c r="C15" s="12">
        <f>ROUND(B15*RAW!$K$12,4)</f>
        <v>0.008</v>
      </c>
      <c r="D15" s="16">
        <f>INPUT!$B$31</f>
        <v>0.0538</v>
      </c>
      <c r="E15" s="16">
        <f>E9</f>
        <v>0</v>
      </c>
      <c r="F15" s="12">
        <f>ROUND($F$9,4)</f>
        <v>0.3478</v>
      </c>
      <c r="G15" s="16">
        <f t="shared" si="0"/>
        <v>0.4096</v>
      </c>
    </row>
    <row r="16" spans="1:2" ht="14.25" thickBot="1" thickTop="1">
      <c r="A16" s="7" t="s">
        <v>43</v>
      </c>
      <c r="B16" s="18"/>
    </row>
    <row r="17" spans="1:7" ht="13.5" thickTop="1">
      <c r="A17" s="9" t="s">
        <v>13</v>
      </c>
      <c r="B17" s="17">
        <v>8.62</v>
      </c>
      <c r="C17" s="16">
        <f>ROUND(B17*RAW!$K$13,4)</f>
        <v>0.0336</v>
      </c>
      <c r="D17" s="16">
        <f>INPUT!$B$22</f>
        <v>0</v>
      </c>
      <c r="E17" s="16">
        <f>E19*4</f>
        <v>0</v>
      </c>
      <c r="F17" s="12">
        <f>+F19*4</f>
        <v>1.3912</v>
      </c>
      <c r="G17" s="16">
        <f>ROUND(SUM(C17:F17),4)</f>
        <v>1.4248</v>
      </c>
    </row>
    <row r="18" spans="1:7" ht="12.75">
      <c r="A18" s="8" t="s">
        <v>58</v>
      </c>
      <c r="B18" s="17">
        <v>4.31</v>
      </c>
      <c r="C18" s="16">
        <f>ROUND(B18*RAW!$K$13,4)</f>
        <v>0.0168</v>
      </c>
      <c r="D18" s="16">
        <f>INPUT!$B$23</f>
        <v>0</v>
      </c>
      <c r="E18" s="16">
        <f>E19*2</f>
        <v>0</v>
      </c>
      <c r="F18" s="12">
        <f>+F19*2</f>
        <v>0.6956</v>
      </c>
      <c r="G18" s="16">
        <f aca="true" t="shared" si="1" ref="G18:G25">ROUND(SUM(C18:F18),4)</f>
        <v>0.7124</v>
      </c>
    </row>
    <row r="19" spans="1:7" ht="12.75">
      <c r="A19" s="8" t="s">
        <v>15</v>
      </c>
      <c r="B19" s="17">
        <v>2.155</v>
      </c>
      <c r="C19" s="16">
        <f>ROUND(B19*RAW!$K$13,4)</f>
        <v>0.0084</v>
      </c>
      <c r="D19" s="16">
        <f>INPUT!$B$24</f>
        <v>0</v>
      </c>
      <c r="E19" s="16">
        <f>INPUT!B$44</f>
        <v>0</v>
      </c>
      <c r="F19" s="12">
        <f>INPUT!$B$39</f>
        <v>0.3478</v>
      </c>
      <c r="G19" s="16">
        <f t="shared" si="1"/>
        <v>0.3562</v>
      </c>
    </row>
    <row r="20" spans="1:7" ht="12.75">
      <c r="A20" s="8" t="s">
        <v>16</v>
      </c>
      <c r="B20" s="17">
        <v>1.0775</v>
      </c>
      <c r="C20" s="16">
        <f>ROUND(B20*RAW!$K$13,4)</f>
        <v>0.0042</v>
      </c>
      <c r="D20" s="16">
        <f>INPUT!$B$25</f>
        <v>0</v>
      </c>
      <c r="E20" s="16">
        <f>ROUND(E19/2,4)</f>
        <v>0</v>
      </c>
      <c r="F20" s="12">
        <f>ROUND($F$9/2,4)</f>
        <v>0.1739</v>
      </c>
      <c r="G20" s="16">
        <f t="shared" si="1"/>
        <v>0.1781</v>
      </c>
    </row>
    <row r="21" spans="1:7" ht="12.75">
      <c r="A21" s="8" t="s">
        <v>153</v>
      </c>
      <c r="B21" s="17">
        <f>B22*1.2</f>
        <v>0.8081256</v>
      </c>
      <c r="C21" s="16">
        <f>ROUND(B21*RAW!$K$13,4)</f>
        <v>0.0032</v>
      </c>
      <c r="D21" s="16">
        <f>INPUT!$B$26</f>
        <v>0.0361</v>
      </c>
      <c r="E21" s="16">
        <f>ROUND(E17/32*12,4)</f>
        <v>0</v>
      </c>
      <c r="F21" s="12">
        <f>ROUND($F$9/32*12,4)</f>
        <v>0.1304</v>
      </c>
      <c r="G21" s="16">
        <f t="shared" si="1"/>
        <v>0.1697</v>
      </c>
    </row>
    <row r="22" spans="1:7" ht="12.75">
      <c r="A22" s="8" t="s">
        <v>59</v>
      </c>
      <c r="B22" s="17">
        <v>0.673438</v>
      </c>
      <c r="C22" s="16">
        <f>ROUND(B22*RAW!$K$13,4)</f>
        <v>0.0026</v>
      </c>
      <c r="D22" s="16">
        <f>INPUT!$B$27</f>
        <v>0.0301</v>
      </c>
      <c r="E22" s="16">
        <f>ROUND(E19/32*10,4)</f>
        <v>0</v>
      </c>
      <c r="F22" s="12">
        <f>ROUND($F$9/32*10,4)</f>
        <v>0.1087</v>
      </c>
      <c r="G22" s="16">
        <f t="shared" si="1"/>
        <v>0.1414</v>
      </c>
    </row>
    <row r="23" spans="1:7" ht="12.75">
      <c r="A23" s="8" t="s">
        <v>60</v>
      </c>
      <c r="B23" s="17">
        <v>0.53875</v>
      </c>
      <c r="C23" s="16">
        <f>ROUND(B23*RAW!$K$13,4)</f>
        <v>0.0021</v>
      </c>
      <c r="D23" s="16">
        <f>INPUT!$B$28</f>
        <v>0</v>
      </c>
      <c r="E23" s="16">
        <f>ROUND(E19/4,4)</f>
        <v>0</v>
      </c>
      <c r="F23" s="12">
        <f>ROUND($F$9/4,4)</f>
        <v>0.087</v>
      </c>
      <c r="G23" s="16">
        <f t="shared" si="1"/>
        <v>0.0891</v>
      </c>
    </row>
    <row r="24" spans="1:7" ht="12.75">
      <c r="A24" s="8" t="s">
        <v>61</v>
      </c>
      <c r="B24" s="17">
        <v>0.269375</v>
      </c>
      <c r="C24" s="16">
        <f>ROUND(B24*RAW!$K$13,4)</f>
        <v>0.0011</v>
      </c>
      <c r="D24" s="16">
        <f>INPUT!$B$30</f>
        <v>0.0205</v>
      </c>
      <c r="E24" s="16">
        <f>ROUND(E19/32*4,4)</f>
        <v>0</v>
      </c>
      <c r="F24" s="12">
        <f>ROUND($F$9/8,4)</f>
        <v>0.0435</v>
      </c>
      <c r="G24" s="16">
        <f t="shared" si="1"/>
        <v>0.0651</v>
      </c>
    </row>
    <row r="25" spans="1:7" ht="13.5" thickBot="1">
      <c r="A25" s="10" t="s">
        <v>62</v>
      </c>
      <c r="B25" s="17">
        <v>2.155</v>
      </c>
      <c r="C25" s="16">
        <f>ROUND(B25*RAW!$K$13,4)</f>
        <v>0.0084</v>
      </c>
      <c r="D25" s="16">
        <f>INPUT!$B$31</f>
        <v>0.0538</v>
      </c>
      <c r="E25" s="16">
        <f>E19</f>
        <v>0</v>
      </c>
      <c r="F25" s="12">
        <f>ROUND($F$9,4)</f>
        <v>0.3478</v>
      </c>
      <c r="G25" s="16">
        <f t="shared" si="1"/>
        <v>0.41</v>
      </c>
    </row>
    <row r="26" spans="1:2" ht="14.25" thickBot="1" thickTop="1">
      <c r="A26" s="7" t="s">
        <v>44</v>
      </c>
      <c r="B26" s="18"/>
    </row>
    <row r="27" spans="1:7" ht="13.5" thickTop="1">
      <c r="A27" s="9" t="s">
        <v>13</v>
      </c>
      <c r="B27" s="17">
        <v>8.62</v>
      </c>
      <c r="C27" s="16">
        <f>ROUND(B27*RAW!$K$14,4)</f>
        <v>0.0336</v>
      </c>
      <c r="D27" s="16">
        <f>INPUT!$B$22</f>
        <v>0</v>
      </c>
      <c r="E27" s="16">
        <f>E29*4</f>
        <v>0</v>
      </c>
      <c r="F27" s="12">
        <f>+F29*4</f>
        <v>1.3912</v>
      </c>
      <c r="G27" s="16">
        <f>ROUND(SUM(C27:F27),4)</f>
        <v>1.4248</v>
      </c>
    </row>
    <row r="28" spans="1:7" ht="12.75">
      <c r="A28" s="8" t="s">
        <v>58</v>
      </c>
      <c r="B28" s="17">
        <v>4.31</v>
      </c>
      <c r="C28" s="16">
        <f>ROUND(B28*RAW!$K$14,4)</f>
        <v>0.0168</v>
      </c>
      <c r="D28" s="16">
        <f>INPUT!$B$23</f>
        <v>0</v>
      </c>
      <c r="E28" s="16">
        <f>E29*2</f>
        <v>0</v>
      </c>
      <c r="F28" s="12">
        <f>+F29*2</f>
        <v>0.6956</v>
      </c>
      <c r="G28" s="16">
        <f aca="true" t="shared" si="2" ref="G28:G35">ROUND(SUM(C28:F28),4)</f>
        <v>0.7124</v>
      </c>
    </row>
    <row r="29" spans="1:7" ht="12.75">
      <c r="A29" s="8" t="s">
        <v>15</v>
      </c>
      <c r="B29" s="17">
        <v>2.155</v>
      </c>
      <c r="C29" s="16">
        <f>ROUND(B29*RAW!$K$14,4)</f>
        <v>0.0084</v>
      </c>
      <c r="D29" s="16">
        <f>INPUT!$B$24</f>
        <v>0</v>
      </c>
      <c r="E29" s="16">
        <f>INPUT!B$44</f>
        <v>0</v>
      </c>
      <c r="F29" s="12">
        <f>INPUT!$B$39</f>
        <v>0.3478</v>
      </c>
      <c r="G29" s="16">
        <f t="shared" si="2"/>
        <v>0.3562</v>
      </c>
    </row>
    <row r="30" spans="1:7" ht="12.75">
      <c r="A30" s="8" t="s">
        <v>16</v>
      </c>
      <c r="B30" s="17">
        <v>1.0775</v>
      </c>
      <c r="C30" s="16">
        <f>ROUND(B30*RAW!$K$14,4)</f>
        <v>0.0042</v>
      </c>
      <c r="D30" s="16">
        <f>INPUT!$B$25</f>
        <v>0</v>
      </c>
      <c r="E30" s="16">
        <f>ROUND(E29/2,4)</f>
        <v>0</v>
      </c>
      <c r="F30" s="12">
        <f>ROUND($F$9/2,4)</f>
        <v>0.1739</v>
      </c>
      <c r="G30" s="16">
        <f t="shared" si="2"/>
        <v>0.1781</v>
      </c>
    </row>
    <row r="31" spans="1:7" ht="12.75">
      <c r="A31" s="8" t="s">
        <v>153</v>
      </c>
      <c r="B31" s="17">
        <f>B32*1.2</f>
        <v>0.8081256</v>
      </c>
      <c r="C31" s="16">
        <f>ROUND(B31*RAW!$K$14,4)</f>
        <v>0.0032</v>
      </c>
      <c r="D31" s="16">
        <f>INPUT!$B$26</f>
        <v>0.0361</v>
      </c>
      <c r="E31" s="16">
        <f>ROUND(E27/32*12,4)</f>
        <v>0</v>
      </c>
      <c r="F31" s="12">
        <f>ROUND($F$9/32*12,4)</f>
        <v>0.1304</v>
      </c>
      <c r="G31" s="16">
        <f t="shared" si="2"/>
        <v>0.1697</v>
      </c>
    </row>
    <row r="32" spans="1:7" ht="12.75">
      <c r="A32" s="8" t="s">
        <v>59</v>
      </c>
      <c r="B32" s="17">
        <v>0.673438</v>
      </c>
      <c r="C32" s="16">
        <f>ROUND(B32*RAW!$K$14,4)</f>
        <v>0.0026</v>
      </c>
      <c r="D32" s="16">
        <f>INPUT!$B$27</f>
        <v>0.0301</v>
      </c>
      <c r="E32" s="16">
        <f>ROUND(E29/32*10,4)</f>
        <v>0</v>
      </c>
      <c r="F32" s="12">
        <f>ROUND($F$9/32*10,4)</f>
        <v>0.1087</v>
      </c>
      <c r="G32" s="16">
        <f t="shared" si="2"/>
        <v>0.1414</v>
      </c>
    </row>
    <row r="33" spans="1:7" ht="12.75">
      <c r="A33" s="8" t="s">
        <v>60</v>
      </c>
      <c r="B33" s="17">
        <v>0.53875</v>
      </c>
      <c r="C33" s="16">
        <f>ROUND(B33*RAW!$K$14,4)</f>
        <v>0.0021</v>
      </c>
      <c r="D33" s="16">
        <f>INPUT!$B$28</f>
        <v>0</v>
      </c>
      <c r="E33" s="16">
        <f>ROUND(E29/4,4)</f>
        <v>0</v>
      </c>
      <c r="F33" s="12">
        <f>ROUND($F$9/4,4)</f>
        <v>0.087</v>
      </c>
      <c r="G33" s="16">
        <f t="shared" si="2"/>
        <v>0.0891</v>
      </c>
    </row>
    <row r="34" spans="1:7" ht="12.75">
      <c r="A34" s="8" t="s">
        <v>61</v>
      </c>
      <c r="B34" s="17">
        <v>0.269375</v>
      </c>
      <c r="C34" s="16">
        <f>ROUND(B34*RAW!$K$14,4)</f>
        <v>0.0011</v>
      </c>
      <c r="D34" s="16">
        <f>INPUT!$B$30</f>
        <v>0.0205</v>
      </c>
      <c r="E34" s="16">
        <f>ROUND(E29/32*4,4)</f>
        <v>0</v>
      </c>
      <c r="F34" s="12">
        <f>ROUND($F$9/8,4)</f>
        <v>0.0435</v>
      </c>
      <c r="G34" s="16">
        <f t="shared" si="2"/>
        <v>0.0651</v>
      </c>
    </row>
    <row r="35" spans="1:7" ht="13.5" thickBot="1">
      <c r="A35" s="10" t="s">
        <v>62</v>
      </c>
      <c r="B35" s="17">
        <v>2.155</v>
      </c>
      <c r="C35" s="16">
        <f>ROUND(B35*RAW!$K$14,4)</f>
        <v>0.0084</v>
      </c>
      <c r="D35" s="16">
        <f>INPUT!$B$31</f>
        <v>0.0538</v>
      </c>
      <c r="E35" s="16">
        <f>E29</f>
        <v>0</v>
      </c>
      <c r="F35" s="12">
        <f>ROUND($F$9,4)</f>
        <v>0.3478</v>
      </c>
      <c r="G35" s="16">
        <f t="shared" si="2"/>
        <v>0.41</v>
      </c>
    </row>
    <row r="36" spans="1:2" ht="14.25" thickBot="1" thickTop="1">
      <c r="A36" s="7" t="s">
        <v>45</v>
      </c>
      <c r="B36" s="18"/>
    </row>
    <row r="37" spans="1:7" ht="13.5" thickTop="1">
      <c r="A37" s="9" t="s">
        <v>13</v>
      </c>
      <c r="B37" s="17">
        <v>8.63</v>
      </c>
      <c r="C37" s="12">
        <f>ROUND(B37*RAW!$K$15,4)</f>
        <v>0.0371</v>
      </c>
      <c r="D37" s="16">
        <f>INPUT!$B$22</f>
        <v>0</v>
      </c>
      <c r="E37" s="16">
        <f>E39*4</f>
        <v>0</v>
      </c>
      <c r="F37" s="12">
        <f>+F39*4</f>
        <v>1.3912</v>
      </c>
      <c r="G37" s="16">
        <f>ROUND(SUM(C37:F37),4)</f>
        <v>1.4283</v>
      </c>
    </row>
    <row r="38" spans="1:7" ht="12.75">
      <c r="A38" s="8" t="s">
        <v>58</v>
      </c>
      <c r="B38" s="17">
        <v>4.315</v>
      </c>
      <c r="C38" s="12">
        <f>ROUND(B38*RAW!$K$15,4)</f>
        <v>0.0186</v>
      </c>
      <c r="D38" s="16">
        <f>INPUT!$B$23</f>
        <v>0</v>
      </c>
      <c r="E38" s="16">
        <f>E39*2</f>
        <v>0</v>
      </c>
      <c r="F38" s="12">
        <f>+F39*2</f>
        <v>0.6956</v>
      </c>
      <c r="G38" s="16">
        <f aca="true" t="shared" si="3" ref="G38:G45">ROUND(SUM(C38:F38),4)</f>
        <v>0.7142</v>
      </c>
    </row>
    <row r="39" spans="1:7" ht="12.75">
      <c r="A39" s="8" t="s">
        <v>15</v>
      </c>
      <c r="B39" s="17">
        <v>2.1575</v>
      </c>
      <c r="C39" s="12">
        <f>ROUND(B39*RAW!$K$15,4)</f>
        <v>0.0093</v>
      </c>
      <c r="D39" s="16">
        <f>INPUT!$B$24</f>
        <v>0</v>
      </c>
      <c r="E39" s="16">
        <f>INPUT!B$44</f>
        <v>0</v>
      </c>
      <c r="F39" s="12">
        <f>INPUT!$B$39</f>
        <v>0.3478</v>
      </c>
      <c r="G39" s="16">
        <f t="shared" si="3"/>
        <v>0.3571</v>
      </c>
    </row>
    <row r="40" spans="1:7" ht="12.75">
      <c r="A40" s="8" t="s">
        <v>16</v>
      </c>
      <c r="B40" s="17">
        <v>1.07875</v>
      </c>
      <c r="C40" s="12">
        <f>ROUND(B40*RAW!$K$15,4)</f>
        <v>0.0046</v>
      </c>
      <c r="D40" s="16">
        <f>INPUT!$B$25</f>
        <v>0</v>
      </c>
      <c r="E40" s="16">
        <f>ROUND(E39/2,4)</f>
        <v>0</v>
      </c>
      <c r="F40" s="12">
        <f>ROUND($F$9/2,4)</f>
        <v>0.1739</v>
      </c>
      <c r="G40" s="16">
        <f t="shared" si="3"/>
        <v>0.1785</v>
      </c>
    </row>
    <row r="41" spans="1:7" ht="12.75">
      <c r="A41" s="8" t="s">
        <v>153</v>
      </c>
      <c r="B41" s="17">
        <f>B42*1.2</f>
        <v>0.8090628</v>
      </c>
      <c r="C41" s="12">
        <f>ROUND(B41*RAW!$K$15,4)</f>
        <v>0.0035</v>
      </c>
      <c r="D41" s="16">
        <f>INPUT!$B$26</f>
        <v>0.0361</v>
      </c>
      <c r="E41" s="16">
        <f>ROUND(E37/32*12,4)</f>
        <v>0</v>
      </c>
      <c r="F41" s="12">
        <f>ROUND($F$9/32*12,4)</f>
        <v>0.1304</v>
      </c>
      <c r="G41" s="16">
        <f t="shared" si="3"/>
        <v>0.17</v>
      </c>
    </row>
    <row r="42" spans="1:7" ht="12.75">
      <c r="A42" s="8" t="s">
        <v>59</v>
      </c>
      <c r="B42" s="17">
        <v>0.674219</v>
      </c>
      <c r="C42" s="12">
        <f>ROUND(B42*RAW!$K$15,4)</f>
        <v>0.0029</v>
      </c>
      <c r="D42" s="16">
        <f>INPUT!$B$27</f>
        <v>0.0301</v>
      </c>
      <c r="E42" s="16">
        <f>ROUND(E39/32*10,4)</f>
        <v>0</v>
      </c>
      <c r="F42" s="12">
        <f>ROUND($F$9/32*10,4)</f>
        <v>0.1087</v>
      </c>
      <c r="G42" s="16">
        <f t="shared" si="3"/>
        <v>0.1417</v>
      </c>
    </row>
    <row r="43" spans="1:7" ht="12.75">
      <c r="A43" s="8" t="s">
        <v>60</v>
      </c>
      <c r="B43" s="17">
        <v>0.539375</v>
      </c>
      <c r="C43" s="12">
        <f>ROUND(B43*RAW!$K$15,4)</f>
        <v>0.0023</v>
      </c>
      <c r="D43" s="16">
        <f>INPUT!$B$28</f>
        <v>0</v>
      </c>
      <c r="E43" s="16">
        <f>ROUND(E39/4,4)</f>
        <v>0</v>
      </c>
      <c r="F43" s="12">
        <f>ROUND($F$9/4,4)</f>
        <v>0.087</v>
      </c>
      <c r="G43" s="16">
        <f t="shared" si="3"/>
        <v>0.0893</v>
      </c>
    </row>
    <row r="44" spans="1:7" ht="12.75">
      <c r="A44" s="8" t="s">
        <v>61</v>
      </c>
      <c r="B44" s="17">
        <v>0.269688</v>
      </c>
      <c r="C44" s="12">
        <f>ROUND(B44*RAW!$K$15,4)</f>
        <v>0.0012</v>
      </c>
      <c r="D44" s="16">
        <f>INPUT!$B$30</f>
        <v>0.0205</v>
      </c>
      <c r="E44" s="16">
        <f>ROUND(E39/32*4,4)</f>
        <v>0</v>
      </c>
      <c r="F44" s="12">
        <f>ROUND($F$9/8,4)</f>
        <v>0.0435</v>
      </c>
      <c r="G44" s="16">
        <f t="shared" si="3"/>
        <v>0.0652</v>
      </c>
    </row>
    <row r="45" spans="1:7" ht="13.5" thickBot="1">
      <c r="A45" s="10" t="s">
        <v>62</v>
      </c>
      <c r="B45" s="17">
        <v>2.1575</v>
      </c>
      <c r="C45" s="12">
        <f>ROUND(B45*RAW!$K$15,4)</f>
        <v>0.0093</v>
      </c>
      <c r="D45" s="16">
        <f>INPUT!$B$31</f>
        <v>0.0538</v>
      </c>
      <c r="E45" s="16">
        <f>E39</f>
        <v>0</v>
      </c>
      <c r="F45" s="12">
        <f>ROUND($F$9,4)</f>
        <v>0.3478</v>
      </c>
      <c r="G45" s="16">
        <f t="shared" si="3"/>
        <v>0.4109</v>
      </c>
    </row>
    <row r="46" spans="1:2" ht="14.25" thickBot="1" thickTop="1">
      <c r="A46" s="7" t="s">
        <v>24</v>
      </c>
      <c r="B46" s="18"/>
    </row>
    <row r="47" spans="1:7" ht="13.5" thickTop="1">
      <c r="A47" s="9" t="s">
        <v>13</v>
      </c>
      <c r="B47" s="17">
        <v>8</v>
      </c>
      <c r="C47" s="16">
        <f>ROUND(B47*RAW!$K$16,4)</f>
        <v>0.0296</v>
      </c>
      <c r="D47" s="16">
        <f>INPUT!$B$22</f>
        <v>0</v>
      </c>
      <c r="E47" s="16">
        <f>E49*4</f>
        <v>0</v>
      </c>
      <c r="F47" s="12">
        <f>+F49*4</f>
        <v>1.3912</v>
      </c>
      <c r="G47" s="16">
        <f>ROUND(SUM(C47:F47),4)</f>
        <v>1.4208</v>
      </c>
    </row>
    <row r="48" spans="1:7" ht="12.75">
      <c r="A48" s="8" t="s">
        <v>58</v>
      </c>
      <c r="B48" s="17">
        <v>4</v>
      </c>
      <c r="C48" s="16">
        <f>ROUND(B48*RAW!$K$16,4)</f>
        <v>0.0148</v>
      </c>
      <c r="D48" s="16">
        <f>INPUT!$B$23</f>
        <v>0</v>
      </c>
      <c r="E48" s="16">
        <f>E49*2</f>
        <v>0</v>
      </c>
      <c r="F48" s="12">
        <f>+F49*2</f>
        <v>0.6956</v>
      </c>
      <c r="G48" s="16">
        <f aca="true" t="shared" si="4" ref="G48:G55">ROUND(SUM(C48:F48),4)</f>
        <v>0.7104</v>
      </c>
    </row>
    <row r="49" spans="1:7" ht="12.75">
      <c r="A49" s="8" t="s">
        <v>15</v>
      </c>
      <c r="B49" s="17">
        <v>2</v>
      </c>
      <c r="C49" s="16">
        <f>ROUND(B49*RAW!$K$16,4)</f>
        <v>0.0074</v>
      </c>
      <c r="D49" s="16">
        <f>INPUT!$B$24</f>
        <v>0</v>
      </c>
      <c r="E49" s="16">
        <f>INPUT!B$44</f>
        <v>0</v>
      </c>
      <c r="F49" s="12">
        <f>INPUT!$B$39</f>
        <v>0.3478</v>
      </c>
      <c r="G49" s="16">
        <f t="shared" si="4"/>
        <v>0.3552</v>
      </c>
    </row>
    <row r="50" spans="1:7" ht="12.75">
      <c r="A50" s="8" t="s">
        <v>16</v>
      </c>
      <c r="B50" s="17">
        <v>1</v>
      </c>
      <c r="C50" s="16">
        <f>ROUND(B50*RAW!$K$16,4)</f>
        <v>0.0037</v>
      </c>
      <c r="D50" s="16">
        <f>INPUT!$B$25</f>
        <v>0</v>
      </c>
      <c r="E50" s="16">
        <f>ROUND(E49/2,4)</f>
        <v>0</v>
      </c>
      <c r="F50" s="12">
        <f>ROUND($F$9/2,4)</f>
        <v>0.1739</v>
      </c>
      <c r="G50" s="16">
        <f t="shared" si="4"/>
        <v>0.1776</v>
      </c>
    </row>
    <row r="51" spans="1:7" ht="12.75">
      <c r="A51" s="8" t="s">
        <v>153</v>
      </c>
      <c r="B51" s="17">
        <f>B52*1.2</f>
        <v>0.75</v>
      </c>
      <c r="C51" s="16">
        <f>ROUND(B51*RAW!$K$16,4)</f>
        <v>0.0028</v>
      </c>
      <c r="D51" s="16">
        <f>INPUT!$B$26</f>
        <v>0.0361</v>
      </c>
      <c r="E51" s="16">
        <f>ROUND(E47/32*12,4)</f>
        <v>0</v>
      </c>
      <c r="F51" s="12">
        <f>ROUND($F$9/32*12,4)</f>
        <v>0.1304</v>
      </c>
      <c r="G51" s="16">
        <f t="shared" si="4"/>
        <v>0.1693</v>
      </c>
    </row>
    <row r="52" spans="1:7" ht="12.75">
      <c r="A52" s="8" t="s">
        <v>59</v>
      </c>
      <c r="B52" s="17">
        <v>0.625</v>
      </c>
      <c r="C52" s="16">
        <f>ROUND(B52*RAW!$K$16,4)</f>
        <v>0.0023</v>
      </c>
      <c r="D52" s="16">
        <f>INPUT!$B$27</f>
        <v>0.0301</v>
      </c>
      <c r="E52" s="16">
        <f>ROUND(E49/32*10,4)</f>
        <v>0</v>
      </c>
      <c r="F52" s="12">
        <f>ROUND($F$9/32*10,4)</f>
        <v>0.1087</v>
      </c>
      <c r="G52" s="16">
        <f t="shared" si="4"/>
        <v>0.1411</v>
      </c>
    </row>
    <row r="53" spans="1:7" ht="12.75">
      <c r="A53" s="8" t="s">
        <v>60</v>
      </c>
      <c r="B53" s="17">
        <v>0.5</v>
      </c>
      <c r="C53" s="16">
        <f>ROUND(B53*RAW!$K$16,4)</f>
        <v>0.0019</v>
      </c>
      <c r="D53" s="16">
        <f>INPUT!$B$28</f>
        <v>0</v>
      </c>
      <c r="E53" s="16">
        <f>ROUND(E49/4,4)</f>
        <v>0</v>
      </c>
      <c r="F53" s="12">
        <f>ROUND($F$9/4,4)</f>
        <v>0.087</v>
      </c>
      <c r="G53" s="16">
        <f t="shared" si="4"/>
        <v>0.0889</v>
      </c>
    </row>
    <row r="54" spans="1:7" ht="12.75">
      <c r="A54" s="8" t="s">
        <v>61</v>
      </c>
      <c r="B54" s="17">
        <v>0.25</v>
      </c>
      <c r="C54" s="16">
        <f>ROUND(B54*RAW!$K$16,4)</f>
        <v>0.0009</v>
      </c>
      <c r="D54" s="16">
        <f>INPUT!$B$30</f>
        <v>0.0205</v>
      </c>
      <c r="E54" s="16">
        <f>ROUND(E49/32*4,4)</f>
        <v>0</v>
      </c>
      <c r="F54" s="12">
        <f>ROUND($F$9/8,4)</f>
        <v>0.0435</v>
      </c>
      <c r="G54" s="16">
        <f t="shared" si="4"/>
        <v>0.0649</v>
      </c>
    </row>
    <row r="55" spans="1:7" ht="13.5" thickBot="1">
      <c r="A55" s="10" t="s">
        <v>62</v>
      </c>
      <c r="B55" s="17">
        <v>2</v>
      </c>
      <c r="C55" s="16">
        <f>ROUND(B55*RAW!$K$16,4)</f>
        <v>0.0074</v>
      </c>
      <c r="D55" s="16">
        <f>INPUT!$B$31</f>
        <v>0.0538</v>
      </c>
      <c r="E55" s="16">
        <f>E49</f>
        <v>0</v>
      </c>
      <c r="F55" s="12">
        <f>ROUND($F$9,4)</f>
        <v>0.3478</v>
      </c>
      <c r="G55" s="16">
        <f t="shared" si="4"/>
        <v>0.409</v>
      </c>
    </row>
    <row r="56" spans="1:2" ht="14.25" thickBot="1" thickTop="1">
      <c r="A56" s="7" t="s">
        <v>46</v>
      </c>
      <c r="B56" s="18"/>
    </row>
    <row r="57" spans="1:7" ht="13.5" thickTop="1">
      <c r="A57" s="9" t="s">
        <v>13</v>
      </c>
      <c r="B57" s="17">
        <v>8</v>
      </c>
      <c r="C57" s="16">
        <f>ROUND(B57*RAW!$K$17,4)</f>
        <v>0.0296</v>
      </c>
      <c r="D57" s="16">
        <f>INPUT!$B$22</f>
        <v>0</v>
      </c>
      <c r="E57" s="16">
        <f>E59*4</f>
        <v>0</v>
      </c>
      <c r="F57" s="12">
        <f>+F59*4</f>
        <v>1.3912</v>
      </c>
      <c r="G57" s="16">
        <f>ROUND(SUM(C57:F57),4)</f>
        <v>1.4208</v>
      </c>
    </row>
    <row r="58" spans="1:7" ht="12.75">
      <c r="A58" s="8" t="s">
        <v>58</v>
      </c>
      <c r="B58" s="17">
        <v>4</v>
      </c>
      <c r="C58" s="16">
        <f>ROUND(B58*RAW!$K$17,4)</f>
        <v>0.0148</v>
      </c>
      <c r="D58" s="16">
        <f>INPUT!$B$23</f>
        <v>0</v>
      </c>
      <c r="E58" s="16">
        <f>E59*2</f>
        <v>0</v>
      </c>
      <c r="F58" s="12">
        <f>+F59*2</f>
        <v>0.6956</v>
      </c>
      <c r="G58" s="16">
        <f aca="true" t="shared" si="5" ref="G58:G65">ROUND(SUM(C58:F58),4)</f>
        <v>0.7104</v>
      </c>
    </row>
    <row r="59" spans="1:7" ht="12.75">
      <c r="A59" s="8" t="s">
        <v>15</v>
      </c>
      <c r="B59" s="17">
        <v>2</v>
      </c>
      <c r="C59" s="16">
        <f>ROUND(B59*RAW!$K$17,4)</f>
        <v>0.0074</v>
      </c>
      <c r="D59" s="16">
        <f>INPUT!$B$24</f>
        <v>0</v>
      </c>
      <c r="E59" s="16">
        <f>INPUT!B$44</f>
        <v>0</v>
      </c>
      <c r="F59" s="12">
        <f>INPUT!$B$39</f>
        <v>0.3478</v>
      </c>
      <c r="G59" s="16">
        <f t="shared" si="5"/>
        <v>0.3552</v>
      </c>
    </row>
    <row r="60" spans="1:7" ht="12.75">
      <c r="A60" s="8" t="s">
        <v>16</v>
      </c>
      <c r="B60" s="17">
        <v>1</v>
      </c>
      <c r="C60" s="16">
        <f>ROUND(B60*RAW!$K$17,4)</f>
        <v>0.0037</v>
      </c>
      <c r="D60" s="16">
        <f>INPUT!$B$25</f>
        <v>0</v>
      </c>
      <c r="E60" s="16">
        <f>ROUND(E59/2,4)</f>
        <v>0</v>
      </c>
      <c r="F60" s="12">
        <f>ROUND($F$9/2,4)</f>
        <v>0.1739</v>
      </c>
      <c r="G60" s="16">
        <f t="shared" si="5"/>
        <v>0.1776</v>
      </c>
    </row>
    <row r="61" spans="1:7" ht="12.75">
      <c r="A61" s="8" t="s">
        <v>153</v>
      </c>
      <c r="B61" s="17">
        <f>B62*1.2</f>
        <v>0.75</v>
      </c>
      <c r="C61" s="16">
        <f>ROUND(B61*RAW!$K$17,4)</f>
        <v>0.0028</v>
      </c>
      <c r="D61" s="16">
        <f>INPUT!$B$26</f>
        <v>0.0361</v>
      </c>
      <c r="E61" s="16">
        <f>ROUND(E57/32*12,4)</f>
        <v>0</v>
      </c>
      <c r="F61" s="12">
        <f>ROUND($F$9/32*12,4)</f>
        <v>0.1304</v>
      </c>
      <c r="G61" s="16">
        <f t="shared" si="5"/>
        <v>0.1693</v>
      </c>
    </row>
    <row r="62" spans="1:7" ht="12.75">
      <c r="A62" s="8" t="s">
        <v>59</v>
      </c>
      <c r="B62" s="17">
        <v>0.625</v>
      </c>
      <c r="C62" s="16">
        <f>ROUND(B62*RAW!$K$17,4)</f>
        <v>0.0023</v>
      </c>
      <c r="D62" s="16">
        <f>INPUT!$B$27</f>
        <v>0.0301</v>
      </c>
      <c r="E62" s="16">
        <f>ROUND(E59/32*10,4)</f>
        <v>0</v>
      </c>
      <c r="F62" s="12">
        <f>ROUND($F$9/32*10,4)</f>
        <v>0.1087</v>
      </c>
      <c r="G62" s="16">
        <f t="shared" si="5"/>
        <v>0.1411</v>
      </c>
    </row>
    <row r="63" spans="1:7" ht="12.75">
      <c r="A63" s="8" t="s">
        <v>60</v>
      </c>
      <c r="B63" s="17">
        <v>0.5</v>
      </c>
      <c r="C63" s="16">
        <f>ROUND(B63*RAW!$K$17,4)</f>
        <v>0.0019</v>
      </c>
      <c r="D63" s="16">
        <f>INPUT!$B$28</f>
        <v>0</v>
      </c>
      <c r="E63" s="16">
        <f>ROUND(E59/4,4)</f>
        <v>0</v>
      </c>
      <c r="F63" s="12">
        <f>ROUND($F$9/4,4)</f>
        <v>0.087</v>
      </c>
      <c r="G63" s="16">
        <f t="shared" si="5"/>
        <v>0.0889</v>
      </c>
    </row>
    <row r="64" spans="1:7" ht="12.75">
      <c r="A64" s="8" t="s">
        <v>61</v>
      </c>
      <c r="B64" s="17">
        <v>0.25</v>
      </c>
      <c r="C64" s="16">
        <f>ROUND(B64*RAW!$K$17,4)</f>
        <v>0.0009</v>
      </c>
      <c r="D64" s="16">
        <f>INPUT!$B$30</f>
        <v>0.0205</v>
      </c>
      <c r="E64" s="16">
        <f>ROUND(E59/32*4,4)</f>
        <v>0</v>
      </c>
      <c r="F64" s="12">
        <f>ROUND($F$9/8,4)</f>
        <v>0.0435</v>
      </c>
      <c r="G64" s="16">
        <f t="shared" si="5"/>
        <v>0.0649</v>
      </c>
    </row>
    <row r="65" spans="1:7" ht="13.5" thickBot="1">
      <c r="A65" s="10" t="s">
        <v>62</v>
      </c>
      <c r="B65" s="17">
        <v>2</v>
      </c>
      <c r="C65" s="16">
        <f>ROUND(B65*RAW!$K$17,4)</f>
        <v>0.0074</v>
      </c>
      <c r="D65" s="16">
        <f>INPUT!$B$31</f>
        <v>0.0538</v>
      </c>
      <c r="E65" s="16">
        <f>E59</f>
        <v>0</v>
      </c>
      <c r="F65" s="12">
        <f>ROUND($F$9,4)</f>
        <v>0.3478</v>
      </c>
      <c r="G65" s="16">
        <f t="shared" si="5"/>
        <v>0.409</v>
      </c>
    </row>
    <row r="66" spans="1:2" ht="14.25" thickBot="1" thickTop="1">
      <c r="A66" s="7" t="s">
        <v>180</v>
      </c>
      <c r="B66" s="18"/>
    </row>
    <row r="67" spans="1:7" ht="13.5" thickTop="1">
      <c r="A67" s="9" t="s">
        <v>13</v>
      </c>
      <c r="B67" s="17">
        <v>8</v>
      </c>
      <c r="C67" s="16">
        <f>ROUND(B67*RAW!$K$18,4)</f>
        <v>0.0296</v>
      </c>
      <c r="D67" s="16">
        <f>INPUT!$B$22</f>
        <v>0</v>
      </c>
      <c r="E67" s="16">
        <f>E69*4</f>
        <v>0</v>
      </c>
      <c r="F67" s="12">
        <f>+F69*4</f>
        <v>1.3912</v>
      </c>
      <c r="G67" s="16">
        <f>ROUND(SUM(C67:F67),4)</f>
        <v>1.4208</v>
      </c>
    </row>
    <row r="68" spans="1:7" ht="12.75">
      <c r="A68" s="8" t="s">
        <v>58</v>
      </c>
      <c r="B68" s="17">
        <v>4</v>
      </c>
      <c r="C68" s="16">
        <f>ROUND(B68*RAW!$K$18,4)</f>
        <v>0.0148</v>
      </c>
      <c r="D68" s="16">
        <f>INPUT!$B$23</f>
        <v>0</v>
      </c>
      <c r="E68" s="16">
        <f>E69*2</f>
        <v>0</v>
      </c>
      <c r="F68" s="12">
        <f>+F69*2</f>
        <v>0.6956</v>
      </c>
      <c r="G68" s="16">
        <f aca="true" t="shared" si="6" ref="G68:G75">ROUND(SUM(C68:F68),4)</f>
        <v>0.7104</v>
      </c>
    </row>
    <row r="69" spans="1:7" ht="12.75">
      <c r="A69" s="8" t="s">
        <v>15</v>
      </c>
      <c r="B69" s="17">
        <v>2</v>
      </c>
      <c r="C69" s="16">
        <f>ROUND(B69*RAW!$K$18,4)</f>
        <v>0.0074</v>
      </c>
      <c r="D69" s="16">
        <f>INPUT!$B$24</f>
        <v>0</v>
      </c>
      <c r="E69" s="16">
        <f>INPUT!B$44</f>
        <v>0</v>
      </c>
      <c r="F69" s="12">
        <f>INPUT!$B$39</f>
        <v>0.3478</v>
      </c>
      <c r="G69" s="16">
        <f t="shared" si="6"/>
        <v>0.3552</v>
      </c>
    </row>
    <row r="70" spans="1:7" ht="12.75">
      <c r="A70" s="8" t="s">
        <v>16</v>
      </c>
      <c r="B70" s="17">
        <v>1</v>
      </c>
      <c r="C70" s="16">
        <f>ROUND(B70*RAW!$K$18,4)</f>
        <v>0.0037</v>
      </c>
      <c r="D70" s="16">
        <f>INPUT!$B$25</f>
        <v>0</v>
      </c>
      <c r="E70" s="16">
        <f>ROUND(E69/2,4)</f>
        <v>0</v>
      </c>
      <c r="F70" s="12">
        <f>ROUND($F$9/2,4)</f>
        <v>0.1739</v>
      </c>
      <c r="G70" s="16">
        <f t="shared" si="6"/>
        <v>0.1776</v>
      </c>
    </row>
    <row r="71" spans="1:7" ht="12.75">
      <c r="A71" s="8" t="s">
        <v>153</v>
      </c>
      <c r="B71" s="17">
        <f>B72*1.2</f>
        <v>0.75</v>
      </c>
      <c r="C71" s="16">
        <f>ROUND(B71*RAW!$K$18,4)</f>
        <v>0.0028</v>
      </c>
      <c r="D71" s="16">
        <f>INPUT!$B$26</f>
        <v>0.0361</v>
      </c>
      <c r="E71" s="16">
        <f>ROUND(E67/32*12,4)</f>
        <v>0</v>
      </c>
      <c r="F71" s="12">
        <f>ROUND($F$9/32*12,4)</f>
        <v>0.1304</v>
      </c>
      <c r="G71" s="16">
        <f t="shared" si="6"/>
        <v>0.1693</v>
      </c>
    </row>
    <row r="72" spans="1:7" ht="12.75">
      <c r="A72" s="8" t="s">
        <v>59</v>
      </c>
      <c r="B72" s="17">
        <v>0.625</v>
      </c>
      <c r="C72" s="16">
        <f>ROUND(B72*RAW!$K$18,4)</f>
        <v>0.0023</v>
      </c>
      <c r="D72" s="16">
        <f>INPUT!$B$27</f>
        <v>0.0301</v>
      </c>
      <c r="E72" s="16">
        <f>ROUND(E69/32*10,4)</f>
        <v>0</v>
      </c>
      <c r="F72" s="12">
        <f>ROUND($F$9/32*10,4)</f>
        <v>0.1087</v>
      </c>
      <c r="G72" s="16">
        <f t="shared" si="6"/>
        <v>0.1411</v>
      </c>
    </row>
    <row r="73" spans="1:7" ht="12.75">
      <c r="A73" s="8" t="s">
        <v>60</v>
      </c>
      <c r="B73" s="17">
        <v>0.5</v>
      </c>
      <c r="C73" s="16">
        <f>ROUND(B73*RAW!$K$18,4)</f>
        <v>0.0019</v>
      </c>
      <c r="D73" s="16">
        <f>INPUT!$B$28</f>
        <v>0</v>
      </c>
      <c r="E73" s="16">
        <f>ROUND(E69/4,4)</f>
        <v>0</v>
      </c>
      <c r="F73" s="12">
        <f>ROUND($F$9/4,4)</f>
        <v>0.087</v>
      </c>
      <c r="G73" s="16">
        <f t="shared" si="6"/>
        <v>0.0889</v>
      </c>
    </row>
    <row r="74" spans="1:7" ht="12.75">
      <c r="A74" s="8" t="s">
        <v>61</v>
      </c>
      <c r="B74" s="17">
        <v>0.25</v>
      </c>
      <c r="C74" s="16">
        <f>ROUND(B74*RAW!$K$18,4)</f>
        <v>0.0009</v>
      </c>
      <c r="D74" s="16">
        <f>INPUT!$B$30</f>
        <v>0.0205</v>
      </c>
      <c r="E74" s="16">
        <f>ROUND(E69/32*4,4)</f>
        <v>0</v>
      </c>
      <c r="F74" s="12">
        <f>ROUND($F$9/8,4)</f>
        <v>0.0435</v>
      </c>
      <c r="G74" s="16">
        <f t="shared" si="6"/>
        <v>0.0649</v>
      </c>
    </row>
    <row r="75" spans="1:7" ht="13.5" thickBot="1">
      <c r="A75" s="10" t="s">
        <v>62</v>
      </c>
      <c r="B75" s="17">
        <v>2</v>
      </c>
      <c r="C75" s="16">
        <f>ROUND(B75*RAW!$K$18,4)</f>
        <v>0.0074</v>
      </c>
      <c r="D75" s="16">
        <f>INPUT!$B$31</f>
        <v>0.0538</v>
      </c>
      <c r="E75" s="16">
        <f>E69</f>
        <v>0</v>
      </c>
      <c r="F75" s="12">
        <f>ROUND($F$9,4)</f>
        <v>0.3478</v>
      </c>
      <c r="G75" s="16">
        <f t="shared" si="6"/>
        <v>0.409</v>
      </c>
    </row>
    <row r="76" spans="1:2" ht="14.25" thickBot="1" thickTop="1">
      <c r="A76" s="7" t="s">
        <v>26</v>
      </c>
      <c r="B76" s="18"/>
    </row>
    <row r="77" spans="1:7" ht="13.5" thickTop="1">
      <c r="A77" s="9" t="s">
        <v>13</v>
      </c>
      <c r="B77" s="17">
        <v>8.62</v>
      </c>
      <c r="C77" s="16">
        <f>ROUND(B77*RAW!$K$19,4)</f>
        <v>0.0698</v>
      </c>
      <c r="D77" s="16">
        <f>INPUT!$B$22</f>
        <v>0</v>
      </c>
      <c r="E77" s="16">
        <f>E79*4</f>
        <v>0</v>
      </c>
      <c r="F77" s="12">
        <f>+F79*4</f>
        <v>1.3912</v>
      </c>
      <c r="G77" s="16">
        <f>ROUND(SUM(C77:F77),4)</f>
        <v>1.461</v>
      </c>
    </row>
    <row r="78" spans="1:7" ht="12.75">
      <c r="A78" s="8" t="s">
        <v>58</v>
      </c>
      <c r="B78" s="17">
        <v>4.31</v>
      </c>
      <c r="C78" s="16">
        <f>ROUND(B78*RAW!$K$19,4)</f>
        <v>0.0349</v>
      </c>
      <c r="D78" s="16">
        <f>INPUT!$B$23</f>
        <v>0</v>
      </c>
      <c r="E78" s="16">
        <f>E79*2</f>
        <v>0</v>
      </c>
      <c r="F78" s="12">
        <f>+F79*2</f>
        <v>0.6956</v>
      </c>
      <c r="G78" s="16">
        <f aca="true" t="shared" si="7" ref="G78:G85">ROUND(SUM(C78:F78),4)</f>
        <v>0.7305</v>
      </c>
    </row>
    <row r="79" spans="1:7" ht="12.75">
      <c r="A79" s="8" t="s">
        <v>15</v>
      </c>
      <c r="B79" s="17">
        <v>2.155</v>
      </c>
      <c r="C79" s="16">
        <f>ROUND(B79*RAW!$K$19,4)</f>
        <v>0.0175</v>
      </c>
      <c r="D79" s="16">
        <f>INPUT!$B$24</f>
        <v>0</v>
      </c>
      <c r="E79" s="16">
        <f>INPUT!B$44</f>
        <v>0</v>
      </c>
      <c r="F79" s="12">
        <f>INPUT!$B$39</f>
        <v>0.3478</v>
      </c>
      <c r="G79" s="16">
        <f t="shared" si="7"/>
        <v>0.3653</v>
      </c>
    </row>
    <row r="80" spans="1:7" ht="12.75">
      <c r="A80" s="8" t="s">
        <v>16</v>
      </c>
      <c r="B80" s="17">
        <v>1.0775</v>
      </c>
      <c r="C80" s="16">
        <f>ROUND(B80*RAW!$K$19,4)</f>
        <v>0.0087</v>
      </c>
      <c r="D80" s="16">
        <f>INPUT!$B$25</f>
        <v>0</v>
      </c>
      <c r="E80" s="16">
        <f>ROUND(E79/2,4)</f>
        <v>0</v>
      </c>
      <c r="F80" s="12">
        <f>ROUND($F$9/2,4)</f>
        <v>0.1739</v>
      </c>
      <c r="G80" s="16">
        <f t="shared" si="7"/>
        <v>0.1826</v>
      </c>
    </row>
    <row r="81" spans="1:7" ht="12.75">
      <c r="A81" s="8" t="s">
        <v>153</v>
      </c>
      <c r="B81" s="17">
        <f>B82*1.2</f>
        <v>0.8081256</v>
      </c>
      <c r="C81" s="16">
        <f>ROUND(B81*RAW!$K$19,4)</f>
        <v>0.0065</v>
      </c>
      <c r="D81" s="16">
        <f>INPUT!$B$26</f>
        <v>0.0361</v>
      </c>
      <c r="E81" s="16">
        <f>ROUND(E77/32*12,4)</f>
        <v>0</v>
      </c>
      <c r="F81" s="12">
        <f>ROUND($F$9/32*12,4)</f>
        <v>0.1304</v>
      </c>
      <c r="G81" s="16">
        <f t="shared" si="7"/>
        <v>0.173</v>
      </c>
    </row>
    <row r="82" spans="1:7" ht="12.75">
      <c r="A82" s="8" t="s">
        <v>59</v>
      </c>
      <c r="B82" s="17">
        <v>0.673438</v>
      </c>
      <c r="C82" s="16">
        <f>ROUND(B82*RAW!$K$19,4)</f>
        <v>0.0055</v>
      </c>
      <c r="D82" s="16">
        <f>INPUT!$B$27</f>
        <v>0.0301</v>
      </c>
      <c r="E82" s="16">
        <f>ROUND(E79/32*10,4)</f>
        <v>0</v>
      </c>
      <c r="F82" s="12">
        <f>ROUND($F$9/32*10,4)</f>
        <v>0.1087</v>
      </c>
      <c r="G82" s="16">
        <f t="shared" si="7"/>
        <v>0.1443</v>
      </c>
    </row>
    <row r="83" spans="1:7" ht="12.75">
      <c r="A83" s="8" t="s">
        <v>60</v>
      </c>
      <c r="B83" s="17">
        <v>0.53875</v>
      </c>
      <c r="C83" s="16">
        <f>ROUND(B83*RAW!$K$19,4)</f>
        <v>0.0044</v>
      </c>
      <c r="D83" s="16">
        <f>INPUT!$B$28</f>
        <v>0</v>
      </c>
      <c r="E83" s="16">
        <f>ROUND(E79/4,4)</f>
        <v>0</v>
      </c>
      <c r="F83" s="12">
        <f>ROUND($F$9/4,4)</f>
        <v>0.087</v>
      </c>
      <c r="G83" s="16">
        <f t="shared" si="7"/>
        <v>0.0914</v>
      </c>
    </row>
    <row r="84" spans="1:7" ht="12.75">
      <c r="A84" s="8" t="s">
        <v>61</v>
      </c>
      <c r="B84" s="17">
        <v>0.269375</v>
      </c>
      <c r="C84" s="16">
        <f>ROUND(B84*RAW!$K$19,4)</f>
        <v>0.0022</v>
      </c>
      <c r="D84" s="16">
        <f>INPUT!$B$30</f>
        <v>0.0205</v>
      </c>
      <c r="E84" s="16">
        <f>ROUND(E79/32*4,4)</f>
        <v>0</v>
      </c>
      <c r="F84" s="12">
        <f>ROUND($F$9/8,4)</f>
        <v>0.0435</v>
      </c>
      <c r="G84" s="16">
        <f t="shared" si="7"/>
        <v>0.0662</v>
      </c>
    </row>
    <row r="85" spans="1:7" ht="13.5" thickBot="1">
      <c r="A85" s="10" t="s">
        <v>62</v>
      </c>
      <c r="B85" s="17">
        <v>2.155</v>
      </c>
      <c r="C85" s="16">
        <f>ROUND(B85*RAW!$K$19,4)</f>
        <v>0.0175</v>
      </c>
      <c r="D85" s="16">
        <f>INPUT!$B$31</f>
        <v>0.0538</v>
      </c>
      <c r="E85" s="16">
        <f>E79</f>
        <v>0</v>
      </c>
      <c r="F85" s="12">
        <f>ROUND($F$9,4)</f>
        <v>0.3478</v>
      </c>
      <c r="G85" s="16">
        <f t="shared" si="7"/>
        <v>0.4191</v>
      </c>
    </row>
    <row r="86" spans="1:7" ht="14.25" thickBot="1" thickTop="1">
      <c r="A86" s="7" t="s">
        <v>134</v>
      </c>
      <c r="B86" s="167"/>
      <c r="C86" s="168"/>
      <c r="D86" s="168"/>
      <c r="E86" s="168"/>
      <c r="F86" s="169"/>
      <c r="G86" s="168"/>
    </row>
    <row r="87" spans="1:7" ht="13.5" thickTop="1">
      <c r="A87" s="9" t="s">
        <v>13</v>
      </c>
      <c r="B87" s="17">
        <f>ROUND($B$89*4,4)</f>
        <v>8</v>
      </c>
      <c r="C87" s="16">
        <f>ROUND(B87*RAW!$K$20,4)</f>
        <v>0.7992</v>
      </c>
      <c r="D87" s="16">
        <f>INPUT!$B$22</f>
        <v>0</v>
      </c>
      <c r="E87" s="16">
        <f>E89*4</f>
        <v>0</v>
      </c>
      <c r="F87" s="12">
        <f>ROUND($F$89*4,4)</f>
        <v>1.3912</v>
      </c>
      <c r="G87" s="16">
        <f aca="true" t="shared" si="8" ref="G87:G95">ROUND(SUM(C87:F87),4)</f>
        <v>2.1904</v>
      </c>
    </row>
    <row r="88" spans="1:7" ht="12.75">
      <c r="A88" s="8" t="s">
        <v>58</v>
      </c>
      <c r="B88" s="17">
        <f>ROUND($B$89*2,4)</f>
        <v>4</v>
      </c>
      <c r="C88" s="16">
        <f>ROUND(B88*RAW!$K$20,4)</f>
        <v>0.3996</v>
      </c>
      <c r="D88" s="16">
        <f>INPUT!$B$23</f>
        <v>0</v>
      </c>
      <c r="E88" s="16">
        <f>E89*2</f>
        <v>0</v>
      </c>
      <c r="F88" s="12">
        <f>ROUND($F$89*2,4)</f>
        <v>0.6956</v>
      </c>
      <c r="G88" s="16">
        <f t="shared" si="8"/>
        <v>1.0952</v>
      </c>
    </row>
    <row r="89" spans="1:7" ht="12.75">
      <c r="A89" s="8" t="s">
        <v>15</v>
      </c>
      <c r="B89" s="17">
        <v>2</v>
      </c>
      <c r="C89" s="16">
        <f>ROUND(B89*RAW!$K$20,4)</f>
        <v>0.1998</v>
      </c>
      <c r="D89" s="16">
        <f>INPUT!$B$24</f>
        <v>0</v>
      </c>
      <c r="E89" s="16">
        <f>INPUT!B$44</f>
        <v>0</v>
      </c>
      <c r="F89" s="12">
        <f>INPUT!$B$39</f>
        <v>0.3478</v>
      </c>
      <c r="G89" s="16">
        <f t="shared" si="8"/>
        <v>0.5476</v>
      </c>
    </row>
    <row r="90" spans="1:7" ht="12.75">
      <c r="A90" s="8" t="s">
        <v>16</v>
      </c>
      <c r="B90" s="17">
        <f>ROUND($B$89/2,4)</f>
        <v>1</v>
      </c>
      <c r="C90" s="16">
        <f>ROUND(B90*RAW!$K$20,4)</f>
        <v>0.0999</v>
      </c>
      <c r="D90" s="16">
        <f>INPUT!$B$25</f>
        <v>0</v>
      </c>
      <c r="E90" s="16">
        <f>ROUND(E89/2,4)</f>
        <v>0</v>
      </c>
      <c r="F90" s="12">
        <f>ROUND($F$89/2,4)</f>
        <v>0.1739</v>
      </c>
      <c r="G90" s="16">
        <f t="shared" si="8"/>
        <v>0.2738</v>
      </c>
    </row>
    <row r="91" spans="1:7" ht="12.75">
      <c r="A91" s="8" t="s">
        <v>153</v>
      </c>
      <c r="B91" s="17">
        <f>B92*1.2</f>
        <v>0.75</v>
      </c>
      <c r="C91" s="16">
        <f>ROUND(B91*RAW!$K$20,4)</f>
        <v>0.0749</v>
      </c>
      <c r="D91" s="16">
        <f>INPUT!$B$26</f>
        <v>0.0361</v>
      </c>
      <c r="E91" s="16">
        <f>ROUND(E87/32*12,4)</f>
        <v>0</v>
      </c>
      <c r="F91" s="12">
        <f>ROUND($F$9/32*12,4)</f>
        <v>0.1304</v>
      </c>
      <c r="G91" s="16">
        <f t="shared" si="8"/>
        <v>0.2414</v>
      </c>
    </row>
    <row r="92" spans="1:7" ht="12.75">
      <c r="A92" s="8" t="s">
        <v>59</v>
      </c>
      <c r="B92" s="17">
        <f>ROUND(($B$89/32)*10,4)</f>
        <v>0.625</v>
      </c>
      <c r="C92" s="16">
        <f>ROUND(B92*RAW!$K$20,4)</f>
        <v>0.0624</v>
      </c>
      <c r="D92" s="16">
        <f>INPUT!$B$27</f>
        <v>0.0301</v>
      </c>
      <c r="E92" s="16">
        <f>ROUND(E89/32*10,4)</f>
        <v>0</v>
      </c>
      <c r="F92" s="12">
        <f>ROUND(($F$89/32)*10,4)</f>
        <v>0.1087</v>
      </c>
      <c r="G92" s="16">
        <f t="shared" si="8"/>
        <v>0.2012</v>
      </c>
    </row>
    <row r="93" spans="1:7" ht="12.75">
      <c r="A93" s="8" t="s">
        <v>60</v>
      </c>
      <c r="B93" s="17">
        <f>ROUND($B$89/4,4)</f>
        <v>0.5</v>
      </c>
      <c r="C93" s="16">
        <f>ROUND(B93*RAW!$K$20,4)</f>
        <v>0.05</v>
      </c>
      <c r="D93" s="16">
        <f>INPUT!$B$28</f>
        <v>0</v>
      </c>
      <c r="E93" s="16">
        <f>ROUND(E89/4,4)</f>
        <v>0</v>
      </c>
      <c r="F93" s="12">
        <f>ROUND($F$89/4,4)</f>
        <v>0.087</v>
      </c>
      <c r="G93" s="16">
        <f t="shared" si="8"/>
        <v>0.137</v>
      </c>
    </row>
    <row r="94" spans="1:7" ht="12.75">
      <c r="A94" s="8" t="s">
        <v>61</v>
      </c>
      <c r="B94" s="17">
        <f>ROUND($B$89/8,4)</f>
        <v>0.25</v>
      </c>
      <c r="C94" s="16">
        <f>ROUND(B94*RAW!$K$20,4)</f>
        <v>0.025</v>
      </c>
      <c r="D94" s="16">
        <f>INPUT!$B$30</f>
        <v>0.0205</v>
      </c>
      <c r="E94" s="16">
        <f>ROUND(E89/32*4,4)</f>
        <v>0</v>
      </c>
      <c r="F94" s="12">
        <f>ROUND($F$89/8,4)</f>
        <v>0.0435</v>
      </c>
      <c r="G94" s="16">
        <f t="shared" si="8"/>
        <v>0.089</v>
      </c>
    </row>
    <row r="95" spans="1:7" ht="13.5" thickBot="1">
      <c r="A95" s="10" t="s">
        <v>62</v>
      </c>
      <c r="B95" s="17">
        <f>B89</f>
        <v>2</v>
      </c>
      <c r="C95" s="16">
        <f>ROUND(B95*RAW!$K$20,4)</f>
        <v>0.1998</v>
      </c>
      <c r="D95" s="16">
        <f>INPUT!$B$31</f>
        <v>0.0538</v>
      </c>
      <c r="E95" s="16">
        <f>E89</f>
        <v>0</v>
      </c>
      <c r="F95" s="180">
        <f>F89</f>
        <v>0.3478</v>
      </c>
      <c r="G95" s="16">
        <f t="shared" si="8"/>
        <v>0.6014</v>
      </c>
    </row>
    <row r="96" spans="1:2" ht="14.25" thickBot="1" thickTop="1">
      <c r="A96" s="7" t="s">
        <v>63</v>
      </c>
      <c r="B96" s="18"/>
    </row>
    <row r="97" spans="1:7" ht="13.5" thickTop="1">
      <c r="A97" s="9" t="s">
        <v>58</v>
      </c>
      <c r="B97" s="17">
        <v>4.275</v>
      </c>
      <c r="C97" s="16">
        <f>ROUND(B97*RAW!$K$21,4)</f>
        <v>0</v>
      </c>
      <c r="D97" s="16">
        <f>INPUT!$B$23</f>
        <v>0</v>
      </c>
      <c r="E97" s="16">
        <f>E98*2</f>
        <v>0</v>
      </c>
      <c r="F97" s="12">
        <f>+F98*2</f>
        <v>0.6956</v>
      </c>
      <c r="G97" s="16">
        <f aca="true" t="shared" si="9" ref="G97:G107">ROUND(SUM(C97:F97),4)</f>
        <v>0.6956</v>
      </c>
    </row>
    <row r="98" spans="1:7" ht="12.75">
      <c r="A98" s="8" t="s">
        <v>15</v>
      </c>
      <c r="B98" s="17">
        <v>2.1375</v>
      </c>
      <c r="C98" s="16">
        <f>ROUND(B98*RAW!$K$21,4)</f>
        <v>0</v>
      </c>
      <c r="D98" s="16">
        <f>INPUT!$B$24</f>
        <v>0</v>
      </c>
      <c r="E98" s="16">
        <f>INPUT!B$44</f>
        <v>0</v>
      </c>
      <c r="F98" s="12">
        <f>INPUT!$B$39</f>
        <v>0.3478</v>
      </c>
      <c r="G98" s="16">
        <f t="shared" si="9"/>
        <v>0.3478</v>
      </c>
    </row>
    <row r="99" spans="1:7" ht="12.75">
      <c r="A99" s="8" t="s">
        <v>16</v>
      </c>
      <c r="B99" s="17">
        <v>1.06875</v>
      </c>
      <c r="C99" s="16">
        <f>ROUND(B99*RAW!$K$21,4)</f>
        <v>0</v>
      </c>
      <c r="D99" s="16">
        <f>INPUT!$B$25</f>
        <v>0</v>
      </c>
      <c r="E99" s="16">
        <f>ROUND(E98/2,4)</f>
        <v>0</v>
      </c>
      <c r="F99" s="12">
        <f>ROUND($F$9/2,4)</f>
        <v>0.1739</v>
      </c>
      <c r="G99" s="16">
        <f t="shared" si="9"/>
        <v>0.1739</v>
      </c>
    </row>
    <row r="100" spans="1:7" ht="12.75">
      <c r="A100" s="8" t="s">
        <v>153</v>
      </c>
      <c r="B100" s="17">
        <f>B101*1.2</f>
        <v>0.8015628</v>
      </c>
      <c r="C100" s="16">
        <f>ROUND(B100*RAW!$K$21,4)</f>
        <v>0</v>
      </c>
      <c r="D100" s="16">
        <f>INPUT!$B$26</f>
        <v>0.0361</v>
      </c>
      <c r="E100" s="16">
        <f>ROUND(E96/32*12,4)</f>
        <v>0</v>
      </c>
      <c r="F100" s="12">
        <f>ROUND($F$9/32*12,4)</f>
        <v>0.1304</v>
      </c>
      <c r="G100" s="16">
        <f t="shared" si="9"/>
        <v>0.1665</v>
      </c>
    </row>
    <row r="101" spans="1:7" ht="12.75">
      <c r="A101" s="8" t="s">
        <v>59</v>
      </c>
      <c r="B101" s="17">
        <v>0.667969</v>
      </c>
      <c r="C101" s="16">
        <f>ROUND(B101*RAW!$K$21,4)</f>
        <v>0</v>
      </c>
      <c r="D101" s="16">
        <f>INPUT!$B$27</f>
        <v>0.0301</v>
      </c>
      <c r="E101" s="16">
        <f>ROUND(E98/32*10,4)</f>
        <v>0</v>
      </c>
      <c r="F101" s="12">
        <f>ROUND($F$9/32*10,4)</f>
        <v>0.1087</v>
      </c>
      <c r="G101" s="16">
        <f t="shared" si="9"/>
        <v>0.1388</v>
      </c>
    </row>
    <row r="102" spans="1:7" ht="12.75">
      <c r="A102" s="8" t="s">
        <v>60</v>
      </c>
      <c r="B102" s="17">
        <v>0.534375</v>
      </c>
      <c r="C102" s="16">
        <f>ROUND(B102*RAW!$K$21,4)</f>
        <v>0</v>
      </c>
      <c r="D102" s="16">
        <f>INPUT!$B$28</f>
        <v>0</v>
      </c>
      <c r="E102" s="16">
        <f>ROUND(E98/4,4)</f>
        <v>0</v>
      </c>
      <c r="F102" s="12">
        <f>ROUND($F$9/4,4)</f>
        <v>0.087</v>
      </c>
      <c r="G102" s="16">
        <f t="shared" si="9"/>
        <v>0.087</v>
      </c>
    </row>
    <row r="103" spans="1:7" ht="12.75">
      <c r="A103" s="8" t="s">
        <v>61</v>
      </c>
      <c r="B103" s="17">
        <v>0.267188</v>
      </c>
      <c r="C103" s="16">
        <f>ROUND(B103*RAW!$K$21,4)</f>
        <v>0</v>
      </c>
      <c r="D103" s="16">
        <f>INPUT!$B$30</f>
        <v>0.0205</v>
      </c>
      <c r="E103" s="16">
        <f>ROUND(E98/32*4,4)</f>
        <v>0</v>
      </c>
      <c r="F103" s="12">
        <f>ROUND($F$9/8,4)</f>
        <v>0.0435</v>
      </c>
      <c r="G103" s="16">
        <f t="shared" si="9"/>
        <v>0.064</v>
      </c>
    </row>
    <row r="104" spans="1:7" ht="12.75">
      <c r="A104" s="8" t="s">
        <v>62</v>
      </c>
      <c r="B104" s="17">
        <v>2.1375</v>
      </c>
      <c r="C104" s="16">
        <f>ROUND(B104*RAW!$K$21,4)</f>
        <v>0</v>
      </c>
      <c r="D104" s="16">
        <f>INPUT!$B$31</f>
        <v>0.0538</v>
      </c>
      <c r="E104" s="16">
        <f>E98</f>
        <v>0</v>
      </c>
      <c r="F104" s="16">
        <f>ROUND($F$9,4)</f>
        <v>0.3478</v>
      </c>
      <c r="G104" s="16">
        <f t="shared" si="9"/>
        <v>0.4016</v>
      </c>
    </row>
    <row r="105" spans="1:7" ht="12.75">
      <c r="A105" s="8" t="s">
        <v>64</v>
      </c>
      <c r="B105" s="17">
        <v>0.025049</v>
      </c>
      <c r="C105" s="16">
        <f>ROUND(B105*RAW!$K$21,4)</f>
        <v>0</v>
      </c>
      <c r="D105" s="12"/>
      <c r="E105" s="12"/>
      <c r="F105" s="16">
        <f>F103/32*3</f>
        <v>0.004078125</v>
      </c>
      <c r="G105" s="16">
        <f t="shared" si="9"/>
        <v>0.0041</v>
      </c>
    </row>
    <row r="106" spans="1:7" ht="12.75">
      <c r="A106" s="8" t="s">
        <v>65</v>
      </c>
      <c r="B106" s="17">
        <v>0.033399</v>
      </c>
      <c r="C106" s="16">
        <f>ROUND(B106*RAW!$K$21,4)</f>
        <v>0</v>
      </c>
      <c r="D106" s="12"/>
      <c r="E106" s="12"/>
      <c r="F106" s="16">
        <f>F103/8</f>
        <v>0.0054375</v>
      </c>
      <c r="G106" s="16">
        <f t="shared" si="9"/>
        <v>0.0054</v>
      </c>
    </row>
    <row r="107" spans="1:7" ht="13.5" thickBot="1">
      <c r="A107" s="10" t="s">
        <v>66</v>
      </c>
      <c r="B107" s="17">
        <v>0.050098</v>
      </c>
      <c r="C107" s="16">
        <f>ROUND(B107*RAW!$K$21,4)</f>
        <v>0</v>
      </c>
      <c r="D107" s="12"/>
      <c r="E107" s="12"/>
      <c r="F107" s="16">
        <f>F103/16*3</f>
        <v>0.00815625</v>
      </c>
      <c r="G107" s="16">
        <f t="shared" si="9"/>
        <v>0.0082</v>
      </c>
    </row>
    <row r="108" spans="1:2" ht="14.25" thickBot="1" thickTop="1">
      <c r="A108" s="7" t="s">
        <v>67</v>
      </c>
      <c r="B108" s="18"/>
    </row>
    <row r="109" spans="1:7" ht="13.5" thickTop="1">
      <c r="A109" s="9" t="s">
        <v>58</v>
      </c>
      <c r="B109" s="17">
        <v>4.255</v>
      </c>
      <c r="C109" s="16">
        <f>ROUND(B109*RAW!$K$22,4)</f>
        <v>0</v>
      </c>
      <c r="D109" s="16">
        <f>INPUT!$B$23</f>
        <v>0</v>
      </c>
      <c r="E109" s="16">
        <f>E110*2</f>
        <v>0</v>
      </c>
      <c r="F109" s="12">
        <f>+F110*2</f>
        <v>0.6956</v>
      </c>
      <c r="G109" s="16">
        <f aca="true" t="shared" si="10" ref="G109:G116">ROUND(SUM(C109:F109),4)</f>
        <v>0.6956</v>
      </c>
    </row>
    <row r="110" spans="1:7" ht="12.75">
      <c r="A110" s="8" t="s">
        <v>15</v>
      </c>
      <c r="B110" s="17">
        <v>2.1275</v>
      </c>
      <c r="C110" s="16">
        <f>ROUND(B110*RAW!$K$22,4)</f>
        <v>0</v>
      </c>
      <c r="D110" s="16">
        <f>INPUT!$B$24</f>
        <v>0</v>
      </c>
      <c r="E110" s="16">
        <f>INPUT!B$44</f>
        <v>0</v>
      </c>
      <c r="F110" s="12">
        <f>INPUT!$B$39</f>
        <v>0.3478</v>
      </c>
      <c r="G110" s="16">
        <f t="shared" si="10"/>
        <v>0.3478</v>
      </c>
    </row>
    <row r="111" spans="1:7" ht="12.75">
      <c r="A111" s="8" t="s">
        <v>16</v>
      </c>
      <c r="B111" s="17">
        <v>1.06375</v>
      </c>
      <c r="C111" s="16">
        <f>ROUND(B111*RAW!$K$22,4)</f>
        <v>0</v>
      </c>
      <c r="D111" s="16">
        <f>INPUT!$B$25</f>
        <v>0</v>
      </c>
      <c r="E111" s="16">
        <f>ROUND(E110/2,4)</f>
        <v>0</v>
      </c>
      <c r="F111" s="12">
        <f>ROUND($F$9/2,4)</f>
        <v>0.1739</v>
      </c>
      <c r="G111" s="16">
        <f t="shared" si="10"/>
        <v>0.1739</v>
      </c>
    </row>
    <row r="112" spans="1:7" ht="12.75">
      <c r="A112" s="8" t="s">
        <v>153</v>
      </c>
      <c r="B112" s="17">
        <f>B113*1.2</f>
        <v>0.7978128</v>
      </c>
      <c r="C112" s="16">
        <f>ROUND(B112*RAW!$K$22,4)</f>
        <v>0</v>
      </c>
      <c r="D112" s="16">
        <f>INPUT!$B$26</f>
        <v>0.0361</v>
      </c>
      <c r="E112" s="16">
        <f>ROUND(E108/32*12,4)</f>
        <v>0</v>
      </c>
      <c r="F112" s="12">
        <f>ROUND($F$9/32*12,4)</f>
        <v>0.1304</v>
      </c>
      <c r="G112" s="16">
        <f t="shared" si="10"/>
        <v>0.1665</v>
      </c>
    </row>
    <row r="113" spans="1:7" ht="12.75">
      <c r="A113" s="8" t="s">
        <v>59</v>
      </c>
      <c r="B113" s="17">
        <v>0.664844</v>
      </c>
      <c r="C113" s="16">
        <f>ROUND(B113*RAW!$K$22,4)</f>
        <v>0</v>
      </c>
      <c r="D113" s="16">
        <f>INPUT!$B$27</f>
        <v>0.0301</v>
      </c>
      <c r="E113" s="16">
        <f>ROUND(E110/32*10,4)</f>
        <v>0</v>
      </c>
      <c r="F113" s="12">
        <f>ROUND($F$9/32*10,4)</f>
        <v>0.1087</v>
      </c>
      <c r="G113" s="16">
        <f t="shared" si="10"/>
        <v>0.1388</v>
      </c>
    </row>
    <row r="114" spans="1:7" ht="12.75">
      <c r="A114" s="8" t="s">
        <v>60</v>
      </c>
      <c r="B114" s="17">
        <v>0.531875</v>
      </c>
      <c r="C114" s="16">
        <f>ROUND(B114*RAW!$K$22,4)</f>
        <v>0</v>
      </c>
      <c r="D114" s="16">
        <f>INPUT!$B$28</f>
        <v>0</v>
      </c>
      <c r="E114" s="16">
        <f>ROUND(E110/4,4)</f>
        <v>0</v>
      </c>
      <c r="F114" s="12">
        <f>ROUND($F$9/4,4)</f>
        <v>0.087</v>
      </c>
      <c r="G114" s="16">
        <f t="shared" si="10"/>
        <v>0.087</v>
      </c>
    </row>
    <row r="115" spans="1:7" ht="12.75">
      <c r="A115" s="8" t="s">
        <v>61</v>
      </c>
      <c r="B115" s="17">
        <v>0.265938</v>
      </c>
      <c r="C115" s="16">
        <f>ROUND(B115*RAW!$K$22,4)</f>
        <v>0</v>
      </c>
      <c r="D115" s="16">
        <f>INPUT!$B$30</f>
        <v>0.0205</v>
      </c>
      <c r="E115" s="16">
        <f>ROUND(E110/32*4,4)</f>
        <v>0</v>
      </c>
      <c r="F115" s="12">
        <f>ROUND($F$9/8,4)</f>
        <v>0.0435</v>
      </c>
      <c r="G115" s="16">
        <f t="shared" si="10"/>
        <v>0.064</v>
      </c>
    </row>
    <row r="116" spans="1:7" ht="13.5" thickBot="1">
      <c r="A116" s="10" t="s">
        <v>62</v>
      </c>
      <c r="B116" s="17">
        <v>2.1275</v>
      </c>
      <c r="C116" s="16">
        <f>ROUND(B116*RAW!$K$22,4)</f>
        <v>0</v>
      </c>
      <c r="D116" s="16">
        <f>INPUT!$B$31</f>
        <v>0.0538</v>
      </c>
      <c r="E116" s="16">
        <f>E110</f>
        <v>0</v>
      </c>
      <c r="F116" s="12">
        <f>ROUND($F$9,4)</f>
        <v>0.3478</v>
      </c>
      <c r="G116" s="16">
        <f t="shared" si="10"/>
        <v>0.4016</v>
      </c>
    </row>
    <row r="117" spans="1:2" ht="14.25" thickBot="1" thickTop="1">
      <c r="A117" s="7" t="s">
        <v>50</v>
      </c>
      <c r="B117" s="18"/>
    </row>
    <row r="118" spans="1:7" ht="13.5" thickTop="1">
      <c r="A118" s="9" t="s">
        <v>58</v>
      </c>
      <c r="B118" s="17">
        <v>4.205</v>
      </c>
      <c r="C118" s="16">
        <f>ROUND(B118*RAW!$K$23,4)</f>
        <v>0</v>
      </c>
      <c r="D118" s="16">
        <f>INPUT!$B$23</f>
        <v>0</v>
      </c>
      <c r="E118" s="16">
        <f>E119*2</f>
        <v>0</v>
      </c>
      <c r="F118" s="12">
        <f>+F119*2</f>
        <v>0.6956</v>
      </c>
      <c r="G118" s="16">
        <f aca="true" t="shared" si="11" ref="G118:G125">ROUND(SUM(C118:F118),4)</f>
        <v>0.6956</v>
      </c>
    </row>
    <row r="119" spans="1:7" ht="12.75">
      <c r="A119" s="8" t="s">
        <v>15</v>
      </c>
      <c r="B119" s="17">
        <v>2.1025</v>
      </c>
      <c r="C119" s="16">
        <f>ROUND(B119*RAW!$K$23,4)</f>
        <v>0</v>
      </c>
      <c r="D119" s="16">
        <f>INPUT!$B$24</f>
        <v>0</v>
      </c>
      <c r="E119" s="16">
        <f>INPUT!B$44</f>
        <v>0</v>
      </c>
      <c r="F119" s="12">
        <f>INPUT!$B$39</f>
        <v>0.3478</v>
      </c>
      <c r="G119" s="16">
        <f t="shared" si="11"/>
        <v>0.3478</v>
      </c>
    </row>
    <row r="120" spans="1:7" ht="12.75">
      <c r="A120" s="8" t="s">
        <v>16</v>
      </c>
      <c r="B120" s="17">
        <v>1.05125</v>
      </c>
      <c r="C120" s="16">
        <f>ROUND(B120*RAW!$K$23,4)</f>
        <v>0</v>
      </c>
      <c r="D120" s="16">
        <f>INPUT!$B$25</f>
        <v>0</v>
      </c>
      <c r="E120" s="16">
        <f>ROUND(E119/2,4)</f>
        <v>0</v>
      </c>
      <c r="F120" s="12">
        <f>ROUND($F$9/2,4)</f>
        <v>0.1739</v>
      </c>
      <c r="G120" s="16">
        <f t="shared" si="11"/>
        <v>0.1739</v>
      </c>
    </row>
    <row r="121" spans="1:7" ht="12.75">
      <c r="A121" s="8" t="s">
        <v>153</v>
      </c>
      <c r="B121" s="17">
        <f>B122*1.2</f>
        <v>0.7884372000000001</v>
      </c>
      <c r="C121" s="16">
        <f>ROUND(B121*RAW!$K$23,4)</f>
        <v>0</v>
      </c>
      <c r="D121" s="16">
        <f>INPUT!$B$26</f>
        <v>0.0361</v>
      </c>
      <c r="E121" s="16">
        <f>ROUND(E117/32*12,4)</f>
        <v>0</v>
      </c>
      <c r="F121" s="12">
        <f>ROUND($F$9/32*12,4)</f>
        <v>0.1304</v>
      </c>
      <c r="G121" s="16">
        <f t="shared" si="11"/>
        <v>0.1665</v>
      </c>
    </row>
    <row r="122" spans="1:7" ht="12.75">
      <c r="A122" s="8" t="s">
        <v>59</v>
      </c>
      <c r="B122" s="17">
        <v>0.657031</v>
      </c>
      <c r="C122" s="16">
        <f>ROUND(B122*RAW!$K$23,4)</f>
        <v>0</v>
      </c>
      <c r="D122" s="16">
        <f>INPUT!$B$27</f>
        <v>0.0301</v>
      </c>
      <c r="E122" s="16">
        <f>ROUND(E119/32*10,4)</f>
        <v>0</v>
      </c>
      <c r="F122" s="12">
        <f>ROUND($F$9/32*10,4)</f>
        <v>0.1087</v>
      </c>
      <c r="G122" s="16">
        <f t="shared" si="11"/>
        <v>0.1388</v>
      </c>
    </row>
    <row r="123" spans="1:7" ht="12.75">
      <c r="A123" s="8" t="s">
        <v>60</v>
      </c>
      <c r="B123" s="17">
        <v>0.525625</v>
      </c>
      <c r="C123" s="16">
        <f>ROUND(B123*RAW!$K$23,4)</f>
        <v>0</v>
      </c>
      <c r="D123" s="16">
        <f>INPUT!$B$28</f>
        <v>0</v>
      </c>
      <c r="E123" s="16">
        <f>ROUND(E119/4,4)</f>
        <v>0</v>
      </c>
      <c r="F123" s="12">
        <f>ROUND($F$9/4,4)</f>
        <v>0.087</v>
      </c>
      <c r="G123" s="16">
        <f t="shared" si="11"/>
        <v>0.087</v>
      </c>
    </row>
    <row r="124" spans="1:7" ht="12.75">
      <c r="A124" s="8" t="s">
        <v>61</v>
      </c>
      <c r="B124" s="17">
        <v>0.262813</v>
      </c>
      <c r="C124" s="16">
        <f>ROUND(B124*RAW!$K$23,4)</f>
        <v>0</v>
      </c>
      <c r="D124" s="16">
        <f>INPUT!$B$30</f>
        <v>0.0205</v>
      </c>
      <c r="E124" s="16">
        <f>ROUND(E119/32*4,4)</f>
        <v>0</v>
      </c>
      <c r="F124" s="12">
        <f>ROUND($F$9/8,4)</f>
        <v>0.0435</v>
      </c>
      <c r="G124" s="16">
        <f t="shared" si="11"/>
        <v>0.064</v>
      </c>
    </row>
    <row r="125" spans="1:7" ht="13.5" thickBot="1">
      <c r="A125" s="10" t="s">
        <v>62</v>
      </c>
      <c r="B125" s="17">
        <v>2.1025</v>
      </c>
      <c r="C125" s="16">
        <f>ROUND(B125*RAW!$K$23,4)</f>
        <v>0</v>
      </c>
      <c r="D125" s="16">
        <f>INPUT!$B$31</f>
        <v>0.0538</v>
      </c>
      <c r="E125" s="16">
        <f>E119</f>
        <v>0</v>
      </c>
      <c r="F125" s="12">
        <f>ROUND($F$9,4)</f>
        <v>0.3478</v>
      </c>
      <c r="G125" s="16">
        <f t="shared" si="11"/>
        <v>0.4016</v>
      </c>
    </row>
    <row r="126" spans="1:2" ht="14.25" thickBot="1" thickTop="1">
      <c r="A126" s="7" t="s">
        <v>51</v>
      </c>
      <c r="B126" s="18"/>
    </row>
    <row r="127" spans="1:7" ht="13.5" thickTop="1">
      <c r="A127" s="9" t="s">
        <v>58</v>
      </c>
      <c r="B127" s="17">
        <f>B128*2</f>
        <v>4.175</v>
      </c>
      <c r="C127" s="16">
        <f>ROUND(B127*RAW!$K$24,4)</f>
        <v>0</v>
      </c>
      <c r="D127" s="16">
        <f>INPUT!$B$23</f>
        <v>0</v>
      </c>
      <c r="E127" s="16">
        <f>E128*2</f>
        <v>0</v>
      </c>
      <c r="F127" s="12">
        <f>+F128*2</f>
        <v>0.6956</v>
      </c>
      <c r="G127" s="16">
        <f aca="true" t="shared" si="12" ref="G127:G134">ROUND(SUM(C127:F127),4)</f>
        <v>0.6956</v>
      </c>
    </row>
    <row r="128" spans="1:7" ht="12.75">
      <c r="A128" s="8" t="s">
        <v>15</v>
      </c>
      <c r="B128" s="17">
        <v>2.0875</v>
      </c>
      <c r="C128" s="16">
        <f>ROUND(B128*RAW!$K$24,4)</f>
        <v>0</v>
      </c>
      <c r="D128" s="16">
        <f>INPUT!$B$24</f>
        <v>0</v>
      </c>
      <c r="E128" s="16">
        <f>INPUT!B$44</f>
        <v>0</v>
      </c>
      <c r="F128" s="12">
        <f>INPUT!$B$39</f>
        <v>0.3478</v>
      </c>
      <c r="G128" s="16">
        <f t="shared" si="12"/>
        <v>0.3478</v>
      </c>
    </row>
    <row r="129" spans="1:7" ht="12.75">
      <c r="A129" s="8" t="s">
        <v>16</v>
      </c>
      <c r="B129" s="17">
        <f>B128/2</f>
        <v>1.04375</v>
      </c>
      <c r="C129" s="16">
        <f>ROUND(B129*RAW!$K$24,4)</f>
        <v>0</v>
      </c>
      <c r="D129" s="16">
        <f>INPUT!$B$25</f>
        <v>0</v>
      </c>
      <c r="E129" s="16">
        <f>ROUND(E128/2,4)</f>
        <v>0</v>
      </c>
      <c r="F129" s="12">
        <f>ROUND($F$9/2,4)</f>
        <v>0.1739</v>
      </c>
      <c r="G129" s="16">
        <f t="shared" si="12"/>
        <v>0.1739</v>
      </c>
    </row>
    <row r="130" spans="1:7" ht="12.75">
      <c r="A130" s="8" t="s">
        <v>153</v>
      </c>
      <c r="B130" s="17">
        <f>B131*1.2</f>
        <v>0.7828128</v>
      </c>
      <c r="C130" s="16">
        <f>ROUND(B130*RAW!$K$24,4)</f>
        <v>0</v>
      </c>
      <c r="D130" s="16">
        <f>INPUT!$B$26</f>
        <v>0.0361</v>
      </c>
      <c r="E130" s="16">
        <f>ROUND(E126/32*12,4)</f>
        <v>0</v>
      </c>
      <c r="F130" s="12">
        <f>ROUND($F$9/32*12,4)</f>
        <v>0.1304</v>
      </c>
      <c r="G130" s="16">
        <f t="shared" si="12"/>
        <v>0.1665</v>
      </c>
    </row>
    <row r="131" spans="1:7" ht="12.75">
      <c r="A131" s="8" t="s">
        <v>59</v>
      </c>
      <c r="B131" s="17">
        <f>ROUND(B128/32*10,6)</f>
        <v>0.652344</v>
      </c>
      <c r="C131" s="16">
        <f>ROUND(B131*RAW!$K$24,4)</f>
        <v>0</v>
      </c>
      <c r="D131" s="16">
        <f>INPUT!$B$27</f>
        <v>0.0301</v>
      </c>
      <c r="E131" s="16">
        <f>ROUND(E128/32*10,4)</f>
        <v>0</v>
      </c>
      <c r="F131" s="12">
        <f>ROUND($F$9/32*10,4)</f>
        <v>0.1087</v>
      </c>
      <c r="G131" s="16">
        <f t="shared" si="12"/>
        <v>0.1388</v>
      </c>
    </row>
    <row r="132" spans="1:7" ht="12.75">
      <c r="A132" s="8" t="s">
        <v>60</v>
      </c>
      <c r="B132" s="17">
        <f>ROUND(B129/2,6)</f>
        <v>0.521875</v>
      </c>
      <c r="C132" s="16">
        <f>ROUND(B132*RAW!$K$24,4)</f>
        <v>0</v>
      </c>
      <c r="D132" s="16">
        <f>INPUT!$B$28</f>
        <v>0</v>
      </c>
      <c r="E132" s="16">
        <f>ROUND(E128/4,4)</f>
        <v>0</v>
      </c>
      <c r="F132" s="12">
        <f>ROUND($F$9/4,4)</f>
        <v>0.087</v>
      </c>
      <c r="G132" s="16">
        <f t="shared" si="12"/>
        <v>0.087</v>
      </c>
    </row>
    <row r="133" spans="1:7" ht="12.75">
      <c r="A133" s="8" t="s">
        <v>61</v>
      </c>
      <c r="B133" s="17">
        <f>ROUND(B132/2,6)</f>
        <v>0.260938</v>
      </c>
      <c r="C133" s="16">
        <f>ROUND(B133*RAW!$K$24,4)</f>
        <v>0</v>
      </c>
      <c r="D133" s="16">
        <f>INPUT!$B$30</f>
        <v>0.0205</v>
      </c>
      <c r="E133" s="16">
        <f>ROUND(E128/32*4,4)</f>
        <v>0</v>
      </c>
      <c r="F133" s="12">
        <f>ROUND($F$9/8,4)</f>
        <v>0.0435</v>
      </c>
      <c r="G133" s="16">
        <f t="shared" si="12"/>
        <v>0.064</v>
      </c>
    </row>
    <row r="134" spans="1:7" ht="13.5" thickBot="1">
      <c r="A134" s="10" t="s">
        <v>62</v>
      </c>
      <c r="B134" s="17">
        <f>B128</f>
        <v>2.0875</v>
      </c>
      <c r="C134" s="16">
        <f>ROUND(B134*RAW!$K$24,4)</f>
        <v>0</v>
      </c>
      <c r="D134" s="16">
        <f>INPUT!$B$31</f>
        <v>0.0538</v>
      </c>
      <c r="E134" s="16">
        <f>E128</f>
        <v>0</v>
      </c>
      <c r="F134" s="12">
        <f>ROUND($F$9,4)</f>
        <v>0.3478</v>
      </c>
      <c r="G134" s="16">
        <f t="shared" si="12"/>
        <v>0.4016</v>
      </c>
    </row>
    <row r="135" spans="1:2" ht="14.25" thickBot="1" thickTop="1">
      <c r="A135" s="7" t="s">
        <v>68</v>
      </c>
      <c r="B135" s="18"/>
    </row>
    <row r="136" spans="1:7" ht="13.5" thickTop="1">
      <c r="A136" s="9" t="s">
        <v>58</v>
      </c>
      <c r="B136" s="17">
        <v>4.255</v>
      </c>
      <c r="C136" s="16">
        <f>ROUND(B136*RAW!$K$25,4)</f>
        <v>0</v>
      </c>
      <c r="D136" s="16"/>
      <c r="E136" s="16">
        <f>E137*2</f>
        <v>0</v>
      </c>
      <c r="F136" s="12">
        <f>+F137*2</f>
        <v>0.6956</v>
      </c>
      <c r="G136" s="16">
        <f aca="true" t="shared" si="13" ref="G136:G143">ROUND(SUM(C136:F136),4)</f>
        <v>0.6956</v>
      </c>
    </row>
    <row r="137" spans="1:7" ht="12.75">
      <c r="A137" s="8" t="s">
        <v>15</v>
      </c>
      <c r="B137" s="17">
        <v>2.1275</v>
      </c>
      <c r="C137" s="16">
        <f>ROUND(B137*RAW!$K$25,4)</f>
        <v>0</v>
      </c>
      <c r="D137" s="16"/>
      <c r="E137" s="16">
        <f>INPUT!B$44</f>
        <v>0</v>
      </c>
      <c r="F137" s="12">
        <f>INPUT!$B$39</f>
        <v>0.3478</v>
      </c>
      <c r="G137" s="16">
        <f t="shared" si="13"/>
        <v>0.3478</v>
      </c>
    </row>
    <row r="138" spans="1:7" ht="12.75">
      <c r="A138" s="8" t="s">
        <v>16</v>
      </c>
      <c r="B138" s="17">
        <v>1.06375</v>
      </c>
      <c r="C138" s="16">
        <f>ROUND(B138*RAW!$K$25,4)</f>
        <v>0</v>
      </c>
      <c r="D138" s="16"/>
      <c r="E138" s="16">
        <f>ROUND(E137/2,4)</f>
        <v>0</v>
      </c>
      <c r="F138" s="12">
        <f>ROUND($F$9/2,4)</f>
        <v>0.1739</v>
      </c>
      <c r="G138" s="16">
        <f t="shared" si="13"/>
        <v>0.1739</v>
      </c>
    </row>
    <row r="139" spans="1:7" ht="12.75">
      <c r="A139" s="8" t="s">
        <v>153</v>
      </c>
      <c r="B139" s="17">
        <f>B140*1.2</f>
        <v>0.7978128</v>
      </c>
      <c r="C139" s="12">
        <f>ROUND(B139*RAW!$K$25,4)</f>
        <v>0</v>
      </c>
      <c r="D139" s="16"/>
      <c r="E139" s="16">
        <f>ROUND(E135/32*12,4)</f>
        <v>0</v>
      </c>
      <c r="F139" s="12">
        <f>ROUND($F$9/32*12,4)</f>
        <v>0.1304</v>
      </c>
      <c r="G139" s="16">
        <f t="shared" si="13"/>
        <v>0.1304</v>
      </c>
    </row>
    <row r="140" spans="1:7" ht="12.75">
      <c r="A140" s="8" t="s">
        <v>59</v>
      </c>
      <c r="B140" s="17">
        <v>0.664844</v>
      </c>
      <c r="C140" s="16">
        <f>ROUND(B140*RAW!$K$25,4)</f>
        <v>0</v>
      </c>
      <c r="D140" s="16"/>
      <c r="E140" s="16">
        <f>ROUND(E137/32*10,4)</f>
        <v>0</v>
      </c>
      <c r="F140" s="12">
        <f>ROUND($F$9/32*10,4)</f>
        <v>0.1087</v>
      </c>
      <c r="G140" s="16">
        <f t="shared" si="13"/>
        <v>0.1087</v>
      </c>
    </row>
    <row r="141" spans="1:7" ht="12.75">
      <c r="A141" s="8" t="s">
        <v>60</v>
      </c>
      <c r="B141" s="17">
        <v>0.531875</v>
      </c>
      <c r="C141" s="16">
        <f>ROUND(B141*RAW!$K$25,4)</f>
        <v>0</v>
      </c>
      <c r="D141" s="16"/>
      <c r="E141" s="16">
        <f>ROUND(E137/4,4)</f>
        <v>0</v>
      </c>
      <c r="F141" s="12">
        <f>ROUND($F$9/4,4)</f>
        <v>0.087</v>
      </c>
      <c r="G141" s="16">
        <f t="shared" si="13"/>
        <v>0.087</v>
      </c>
    </row>
    <row r="142" spans="1:7" ht="12.75">
      <c r="A142" s="8" t="s">
        <v>61</v>
      </c>
      <c r="B142" s="17">
        <v>0.265938</v>
      </c>
      <c r="C142" s="16">
        <f>ROUND(B142*RAW!$K$25,4)</f>
        <v>0</v>
      </c>
      <c r="D142" s="16"/>
      <c r="E142" s="16">
        <f>ROUND(E137/32*4,4)</f>
        <v>0</v>
      </c>
      <c r="F142" s="12">
        <f>ROUND($F$9/8,4)</f>
        <v>0.0435</v>
      </c>
      <c r="G142" s="16">
        <f t="shared" si="13"/>
        <v>0.0435</v>
      </c>
    </row>
    <row r="143" spans="1:7" ht="12.75">
      <c r="A143" s="8" t="s">
        <v>62</v>
      </c>
      <c r="B143" s="17">
        <v>2.1275</v>
      </c>
      <c r="C143" s="16">
        <f>ROUND(B143*RAW!$K$25,4)</f>
        <v>0</v>
      </c>
      <c r="D143" s="16"/>
      <c r="E143" s="16">
        <f>E137</f>
        <v>0</v>
      </c>
      <c r="F143" s="12">
        <f>ROUND($F$9,4)</f>
        <v>0.3478</v>
      </c>
      <c r="G143" s="16">
        <f t="shared" si="13"/>
        <v>0.3478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3"/>
  <sheetViews>
    <sheetView zoomScale="75" zoomScaleNormal="75" zoomScalePageLayoutView="0" workbookViewId="0" topLeftCell="A4">
      <pane xSplit="3" ySplit="4" topLeftCell="D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F18" sqref="F18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1.28125" style="0" customWidth="1"/>
    <col min="5" max="5" width="13.57421875" style="0" customWidth="1"/>
    <col min="6" max="6" width="11.7109375" style="0" customWidth="1"/>
    <col min="7" max="7" width="13.57421875" style="0" customWidth="1"/>
    <col min="8" max="8" width="13.421875" style="0" customWidth="1"/>
    <col min="9" max="9" width="12.7109375" style="0" customWidth="1"/>
    <col min="10" max="10" width="8.57421875" style="0" customWidth="1"/>
    <col min="11" max="13" width="10.00390625" style="0" customWidth="1"/>
    <col min="15" max="15" width="10.7109375" style="0" customWidth="1"/>
    <col min="16" max="18" width="11.28125" style="0" customWidth="1"/>
    <col min="19" max="19" width="10.7109375" style="0" customWidth="1"/>
    <col min="22" max="22" width="9.8515625" style="0" bestFit="1" customWidth="1"/>
  </cols>
  <sheetData>
    <row r="1" spans="3:19" ht="12.75">
      <c r="C1" s="19" t="s">
        <v>33</v>
      </c>
      <c r="D1" s="19"/>
      <c r="E1" s="19"/>
      <c r="F1" s="19"/>
      <c r="G1" s="19"/>
      <c r="H1" s="19"/>
      <c r="I1" s="19"/>
      <c r="J1" s="19"/>
      <c r="K1" s="19"/>
      <c r="L1" s="19"/>
      <c r="M1" s="19"/>
      <c r="O1" s="19"/>
      <c r="P1" s="19"/>
      <c r="Q1" s="19"/>
      <c r="R1" s="19"/>
      <c r="S1" s="19"/>
    </row>
    <row r="2" spans="3:19" ht="12.75">
      <c r="C2" s="19" t="s">
        <v>69</v>
      </c>
      <c r="D2" s="19"/>
      <c r="E2" s="19"/>
      <c r="F2" s="19"/>
      <c r="G2" s="19"/>
      <c r="H2" s="19"/>
      <c r="I2" s="19"/>
      <c r="J2" s="19"/>
      <c r="K2" s="19"/>
      <c r="L2" s="19"/>
      <c r="M2" s="19"/>
      <c r="O2" s="19"/>
      <c r="P2" s="19"/>
      <c r="Q2" s="19"/>
      <c r="R2" s="19"/>
      <c r="S2" s="19"/>
    </row>
    <row r="3" spans="3:19" ht="13.5" thickBot="1">
      <c r="C3" s="123">
        <f ca="1">NOW()</f>
        <v>44274.460255555554</v>
      </c>
      <c r="D3" s="19"/>
      <c r="E3" s="19"/>
      <c r="F3" s="19"/>
      <c r="G3" s="19"/>
      <c r="H3" s="19"/>
      <c r="I3" s="19"/>
      <c r="J3" s="19"/>
      <c r="K3" s="19"/>
      <c r="L3" s="19"/>
      <c r="M3" s="19"/>
      <c r="O3" s="19"/>
      <c r="P3" s="19"/>
      <c r="Q3" s="19"/>
      <c r="R3" s="19"/>
      <c r="S3" s="19"/>
    </row>
    <row r="4" spans="4:19" ht="13.5" thickTop="1">
      <c r="D4" s="5">
        <v>1</v>
      </c>
      <c r="E4" s="5">
        <v>2</v>
      </c>
      <c r="F4" s="5">
        <v>10</v>
      </c>
      <c r="G4" s="5"/>
      <c r="H4" s="5">
        <v>3</v>
      </c>
      <c r="I4" s="5">
        <v>4</v>
      </c>
      <c r="J4" s="5">
        <v>5</v>
      </c>
      <c r="K4" s="5">
        <v>6</v>
      </c>
      <c r="L4" s="5">
        <v>8</v>
      </c>
      <c r="M4" s="5">
        <v>9</v>
      </c>
      <c r="O4" s="5">
        <v>11</v>
      </c>
      <c r="P4" s="5">
        <v>12</v>
      </c>
      <c r="Q4" s="5"/>
      <c r="R4" s="5"/>
      <c r="S4" s="5">
        <v>14</v>
      </c>
    </row>
    <row r="5" spans="4:19" ht="12.75">
      <c r="D5" s="20" t="s">
        <v>70</v>
      </c>
      <c r="E5" s="20" t="s">
        <v>71</v>
      </c>
      <c r="F5" s="20" t="s">
        <v>73</v>
      </c>
      <c r="G5" s="20" t="s">
        <v>147</v>
      </c>
      <c r="H5" s="20"/>
      <c r="I5" s="20" t="s">
        <v>161</v>
      </c>
      <c r="J5" s="21">
        <f>INPUT!B65</f>
        <v>0.035</v>
      </c>
      <c r="K5" s="20" t="s">
        <v>72</v>
      </c>
      <c r="L5" s="20" t="s">
        <v>70</v>
      </c>
      <c r="M5" s="20" t="s">
        <v>73</v>
      </c>
      <c r="O5" s="178"/>
      <c r="P5" s="20" t="s">
        <v>159</v>
      </c>
      <c r="Q5" s="20">
        <f>INPUT!B85</f>
        <v>0</v>
      </c>
      <c r="R5" s="21">
        <f>INPUT!B86</f>
        <v>0.025</v>
      </c>
      <c r="S5" s="20" t="s">
        <v>146</v>
      </c>
    </row>
    <row r="6" spans="4:19" ht="12.75">
      <c r="D6" s="20" t="s">
        <v>74</v>
      </c>
      <c r="E6" s="20" t="s">
        <v>75</v>
      </c>
      <c r="F6" s="20" t="s">
        <v>55</v>
      </c>
      <c r="G6" s="20" t="s">
        <v>148</v>
      </c>
      <c r="H6" s="20" t="s">
        <v>41</v>
      </c>
      <c r="I6" s="20" t="s">
        <v>76</v>
      </c>
      <c r="J6" s="20" t="s">
        <v>32</v>
      </c>
      <c r="K6" s="20" t="s">
        <v>77</v>
      </c>
      <c r="L6" s="20" t="s">
        <v>78</v>
      </c>
      <c r="M6" s="20" t="s">
        <v>78</v>
      </c>
      <c r="O6" s="178" t="s">
        <v>76</v>
      </c>
      <c r="P6" s="20" t="s">
        <v>160</v>
      </c>
      <c r="Q6" s="20" t="s">
        <v>163</v>
      </c>
      <c r="R6" s="20" t="s">
        <v>162</v>
      </c>
      <c r="S6" s="22" t="s">
        <v>81</v>
      </c>
    </row>
    <row r="7" spans="4:19" ht="13.5" thickBot="1">
      <c r="D7" s="6" t="s">
        <v>41</v>
      </c>
      <c r="E7" s="6" t="s">
        <v>48</v>
      </c>
      <c r="F7" s="6" t="s">
        <v>80</v>
      </c>
      <c r="G7" s="6"/>
      <c r="H7" s="6" t="s">
        <v>48</v>
      </c>
      <c r="I7" s="6" t="s">
        <v>72</v>
      </c>
      <c r="J7" s="6" t="s">
        <v>79</v>
      </c>
      <c r="K7" s="6" t="s">
        <v>32</v>
      </c>
      <c r="L7" s="6" t="s">
        <v>80</v>
      </c>
      <c r="M7" s="6" t="s">
        <v>80</v>
      </c>
      <c r="O7" s="179" t="s">
        <v>72</v>
      </c>
      <c r="P7" s="186">
        <f>INPUT!B83</f>
        <v>0.15</v>
      </c>
      <c r="Q7" s="6" t="s">
        <v>41</v>
      </c>
      <c r="R7" s="6" t="s">
        <v>32</v>
      </c>
      <c r="S7" s="179" t="s">
        <v>72</v>
      </c>
    </row>
    <row r="8" spans="3:17" ht="14.25" thickBot="1" thickTop="1">
      <c r="C8" s="177"/>
      <c r="Q8" s="182"/>
    </row>
    <row r="9" spans="1:25" ht="13.5" customHeight="1" thickBot="1" thickTop="1">
      <c r="A9" s="259" t="s">
        <v>136</v>
      </c>
      <c r="B9" s="268" t="s">
        <v>137</v>
      </c>
      <c r="C9" s="7" t="s">
        <v>13</v>
      </c>
      <c r="D9" s="23">
        <f>'CNTNR COST'!G7</f>
        <v>1.423</v>
      </c>
      <c r="E9" s="11">
        <v>0</v>
      </c>
      <c r="F9" s="11">
        <v>-0.0639</v>
      </c>
      <c r="G9" s="26">
        <f>ROUND($G$11*4,4)</f>
        <v>0</v>
      </c>
      <c r="H9" s="26">
        <f>ROUND($H$11*4,6)</f>
        <v>-0.0008</v>
      </c>
      <c r="I9" s="11">
        <f>ROUND(SUM(D9:H9),4)</f>
        <v>1.3583</v>
      </c>
      <c r="J9" s="11">
        <f>(I9/(1-$J$5))-I9</f>
        <v>0.04926476683937819</v>
      </c>
      <c r="K9" s="28">
        <f>ROUND(I9+J9,4)</f>
        <v>1.4076</v>
      </c>
      <c r="L9" s="11">
        <f>ROUND(L$11*4,4)</f>
        <v>-0.5068</v>
      </c>
      <c r="M9" s="11">
        <f>ROUND(M$11*4,4)</f>
        <v>1.0552</v>
      </c>
      <c r="O9" s="26">
        <f aca="true" t="shared" si="0" ref="O9:O17">ROUND(SUM(K9:N9),6)</f>
        <v>1.956</v>
      </c>
      <c r="P9" s="26">
        <f aca="true" t="shared" si="1" ref="P9:P17">ROUND(O9*(-P$7),4)</f>
        <v>-0.2934</v>
      </c>
      <c r="Q9" s="26">
        <f>4*Q$5</f>
        <v>0</v>
      </c>
      <c r="R9" s="26">
        <f aca="true" t="shared" si="2" ref="R9:R17">ROUND(((Q9+P9+O9)/(1-R$5))-(Q9+P9+O9),6)</f>
        <v>0.042631</v>
      </c>
      <c r="S9" s="145">
        <f aca="true" t="shared" si="3" ref="S9:S17">IF(ROUND(SUM(O9:R9),2)&gt;O9,ROUND(SUM(O9:R9),2),ROUND(O9+0.005,2))</f>
        <v>1.96</v>
      </c>
      <c r="V9" s="250">
        <f>IF(ROUND(SUM(O9:R9),4)&gt;O9,ROUND(SUM(O9:R9),4),ROUND(O9+0.005,4))</f>
        <v>1.961</v>
      </c>
      <c r="W9" s="249">
        <f>IF(ROUND(SUM(O9:R9),2)&gt;O9,ROUND(SUM(O9:R9),2),ROUND(O9+0.005,2))</f>
        <v>1.96</v>
      </c>
      <c r="X9" s="30">
        <f>V9-W9</f>
        <v>0.001000000000000112</v>
      </c>
      <c r="Y9">
        <f>IF(X9=0.005,0.006,X9)</f>
        <v>0.001000000000000112</v>
      </c>
    </row>
    <row r="10" spans="1:25" ht="14.25" thickBot="1" thickTop="1">
      <c r="A10" s="260"/>
      <c r="B10" s="269"/>
      <c r="C10" s="7" t="s">
        <v>58</v>
      </c>
      <c r="D10" s="13">
        <f>'CNTNR COST'!G8</f>
        <v>0.7115</v>
      </c>
      <c r="E10" s="12">
        <v>0</v>
      </c>
      <c r="F10" s="12">
        <v>-0.0419</v>
      </c>
      <c r="G10" s="17">
        <f>ROUND($G$11*2,6)</f>
        <v>0</v>
      </c>
      <c r="H10" s="17">
        <f>ROUND($H$11*2,6)</f>
        <v>-0.0004</v>
      </c>
      <c r="I10" s="12">
        <f aca="true" t="shared" si="4" ref="I10:I17">ROUND(SUM(D10:H10),4)</f>
        <v>0.6692</v>
      </c>
      <c r="J10" s="12">
        <f aca="true" t="shared" si="5" ref="J10:J17">(I10/(1-$J$5))-I10</f>
        <v>0.024271502590673566</v>
      </c>
      <c r="K10" s="16">
        <f aca="true" t="shared" si="6" ref="K10:K17">ROUND(I10+J10,4)</f>
        <v>0.6935</v>
      </c>
      <c r="L10" s="12">
        <f>ROUND(L$11*2,4)</f>
        <v>-0.2534</v>
      </c>
      <c r="M10" s="12">
        <f>ROUND(M$11*2,4)</f>
        <v>0.5276</v>
      </c>
      <c r="O10" s="17">
        <f t="shared" si="0"/>
        <v>0.9677</v>
      </c>
      <c r="P10" s="17">
        <f t="shared" si="1"/>
        <v>-0.1452</v>
      </c>
      <c r="Q10" s="252">
        <f>2*Q$5</f>
        <v>0</v>
      </c>
      <c r="R10" s="17">
        <f t="shared" si="2"/>
        <v>0.02109</v>
      </c>
      <c r="S10" s="146">
        <f t="shared" si="3"/>
        <v>0.97</v>
      </c>
      <c r="V10" s="250">
        <f aca="true" t="shared" si="7" ref="V10:V17">IF(ROUND(SUM(O10:R10),4)&gt;O10,ROUND(SUM(O10:R10),4),ROUND(O10+0.005,4))</f>
        <v>0.9727</v>
      </c>
      <c r="W10" s="249">
        <f aca="true" t="shared" si="8" ref="W10:W17">IF(ROUND(SUM(O10:R10),2)&gt;O10,ROUND(SUM(O10:R10),2),ROUND(O10+0.005,2))</f>
        <v>0.97</v>
      </c>
      <c r="X10" s="30">
        <f aca="true" t="shared" si="9" ref="X10:X17">V10-W10</f>
        <v>0.0027000000000000357</v>
      </c>
      <c r="Y10">
        <f aca="true" t="shared" si="10" ref="Y10:Y73">IF(X10=0.005,0.006,X10)</f>
        <v>0.0027000000000000357</v>
      </c>
    </row>
    <row r="11" spans="1:25" ht="14.25" thickBot="1" thickTop="1">
      <c r="A11" s="260"/>
      <c r="B11" s="269"/>
      <c r="C11" s="7" t="s">
        <v>15</v>
      </c>
      <c r="D11" s="13">
        <f>'CNTNR COST'!G9</f>
        <v>0.3558</v>
      </c>
      <c r="E11" s="12">
        <v>0</v>
      </c>
      <c r="F11" s="12">
        <v>0.028</v>
      </c>
      <c r="G11" s="12">
        <f>Energy_Addon</f>
        <v>0</v>
      </c>
      <c r="H11" s="17">
        <f>ROUND(COST_UPDATE_ADJ,4)</f>
        <v>-0.0002</v>
      </c>
      <c r="I11" s="12">
        <f t="shared" si="4"/>
        <v>0.3836</v>
      </c>
      <c r="J11" s="12">
        <f t="shared" si="5"/>
        <v>0.01391295336787568</v>
      </c>
      <c r="K11" s="16">
        <f t="shared" si="6"/>
        <v>0.3975</v>
      </c>
      <c r="L11" s="12">
        <v>-0.1267</v>
      </c>
      <c r="M11" s="12">
        <v>0.2638</v>
      </c>
      <c r="O11" s="17">
        <f t="shared" si="0"/>
        <v>0.5346</v>
      </c>
      <c r="P11" s="17">
        <f t="shared" si="1"/>
        <v>-0.0802</v>
      </c>
      <c r="Q11" s="252">
        <f>Q$5</f>
        <v>0</v>
      </c>
      <c r="R11" s="17">
        <f t="shared" si="2"/>
        <v>0.011651</v>
      </c>
      <c r="S11" s="146">
        <f t="shared" si="3"/>
        <v>0.54</v>
      </c>
      <c r="V11" s="250">
        <f t="shared" si="7"/>
        <v>0.5396</v>
      </c>
      <c r="W11" s="249">
        <f t="shared" si="8"/>
        <v>0.54</v>
      </c>
      <c r="X11" s="30">
        <f t="shared" si="9"/>
        <v>-0.00040000000000006697</v>
      </c>
      <c r="Y11">
        <f t="shared" si="10"/>
        <v>-0.00040000000000006697</v>
      </c>
    </row>
    <row r="12" spans="1:25" ht="14.25" thickBot="1" thickTop="1">
      <c r="A12" s="260"/>
      <c r="B12" s="269"/>
      <c r="C12" s="7" t="s">
        <v>16</v>
      </c>
      <c r="D12" s="13">
        <f>'CNTNR COST'!G10</f>
        <v>0.1779</v>
      </c>
      <c r="E12" s="12">
        <v>0</v>
      </c>
      <c r="F12" s="12">
        <v>0.0549</v>
      </c>
      <c r="G12" s="17">
        <f>ROUND($G$11/2,4)</f>
        <v>0</v>
      </c>
      <c r="H12" s="17">
        <f>ROUND($H$11/2,4)</f>
        <v>-0.0001</v>
      </c>
      <c r="I12" s="12">
        <f t="shared" si="4"/>
        <v>0.2327</v>
      </c>
      <c r="J12" s="12">
        <f t="shared" si="5"/>
        <v>0.008439896373057004</v>
      </c>
      <c r="K12" s="16">
        <f t="shared" si="6"/>
        <v>0.2411</v>
      </c>
      <c r="L12" s="12">
        <f>ROUND(L$11/2,4)</f>
        <v>-0.0634</v>
      </c>
      <c r="M12" s="12">
        <f>ROUND(M$11/2,4)</f>
        <v>0.1319</v>
      </c>
      <c r="O12" s="17">
        <f t="shared" si="0"/>
        <v>0.3096</v>
      </c>
      <c r="P12" s="17">
        <f t="shared" si="1"/>
        <v>-0.0464</v>
      </c>
      <c r="Q12" s="252">
        <f>ROUND(0.5*Q$5,4)</f>
        <v>0</v>
      </c>
      <c r="R12" s="17">
        <f t="shared" si="2"/>
        <v>0.006749</v>
      </c>
      <c r="S12" s="146">
        <f t="shared" si="3"/>
        <v>0.31</v>
      </c>
      <c r="V12" s="250">
        <f t="shared" si="7"/>
        <v>0.3146</v>
      </c>
      <c r="W12" s="249">
        <f t="shared" si="8"/>
        <v>0.31</v>
      </c>
      <c r="X12" s="30">
        <f t="shared" si="9"/>
        <v>0.004599999999999993</v>
      </c>
      <c r="Y12">
        <f t="shared" si="10"/>
        <v>0.004599999999999993</v>
      </c>
    </row>
    <row r="13" spans="1:25" ht="14.25" thickBot="1" thickTop="1">
      <c r="A13" s="260"/>
      <c r="B13" s="269"/>
      <c r="C13" s="7" t="s">
        <v>153</v>
      </c>
      <c r="D13" s="13">
        <f>'CNTNR COST'!G11</f>
        <v>0.1695</v>
      </c>
      <c r="E13" s="12"/>
      <c r="F13" s="12"/>
      <c r="G13" s="17">
        <f>ROUND($G$11/32*12,4)</f>
        <v>0</v>
      </c>
      <c r="H13" s="17">
        <f>ROUND($H$11/32*12,4)</f>
        <v>-0.0001</v>
      </c>
      <c r="I13" s="12">
        <f>ROUND(SUM(D13:H13),4)</f>
        <v>0.1694</v>
      </c>
      <c r="J13" s="12">
        <f t="shared" si="5"/>
        <v>0.00614404145077721</v>
      </c>
      <c r="K13" s="16">
        <f>ROUND(I13+J13,4)</f>
        <v>0.1755</v>
      </c>
      <c r="L13" s="12">
        <f>ROUND(L$11/32*12,4)</f>
        <v>-0.0475</v>
      </c>
      <c r="M13" s="12">
        <f>ROUND(M$11/32*12,4)</f>
        <v>0.0989</v>
      </c>
      <c r="O13" s="17">
        <f t="shared" si="0"/>
        <v>0.2269</v>
      </c>
      <c r="P13" s="17">
        <f t="shared" si="1"/>
        <v>-0.034</v>
      </c>
      <c r="Q13" s="252">
        <f>ROUND(12/32*Q$5,4)</f>
        <v>0</v>
      </c>
      <c r="R13" s="17">
        <f t="shared" si="2"/>
        <v>0.004946</v>
      </c>
      <c r="S13" s="146">
        <f t="shared" si="3"/>
        <v>0.23</v>
      </c>
      <c r="V13" s="250">
        <f t="shared" si="7"/>
        <v>0.2319</v>
      </c>
      <c r="W13" s="249">
        <f t="shared" si="8"/>
        <v>0.23</v>
      </c>
      <c r="X13" s="30">
        <f t="shared" si="9"/>
        <v>0.001899999999999985</v>
      </c>
      <c r="Y13">
        <f t="shared" si="10"/>
        <v>0.001899999999999985</v>
      </c>
    </row>
    <row r="14" spans="1:25" ht="14.25" thickBot="1" thickTop="1">
      <c r="A14" s="260"/>
      <c r="B14" s="269"/>
      <c r="C14" s="7" t="s">
        <v>59</v>
      </c>
      <c r="D14" s="13">
        <f>'CNTNR COST'!G12</f>
        <v>0.1413</v>
      </c>
      <c r="E14" s="12">
        <v>0</v>
      </c>
      <c r="F14" s="12"/>
      <c r="G14" s="17">
        <f>ROUND($G$11/32*10,4)</f>
        <v>0</v>
      </c>
      <c r="H14" s="17">
        <f>ROUND($H$11/32*10,4)</f>
        <v>-0.0001</v>
      </c>
      <c r="I14" s="12">
        <f t="shared" si="4"/>
        <v>0.1412</v>
      </c>
      <c r="J14" s="12">
        <f t="shared" si="5"/>
        <v>0.005121243523316055</v>
      </c>
      <c r="K14" s="16">
        <f t="shared" si="6"/>
        <v>0.1463</v>
      </c>
      <c r="L14" s="12">
        <f>ROUND(L$11/32*10,4)</f>
        <v>-0.0396</v>
      </c>
      <c r="M14" s="12">
        <f>ROUND(M$11/32*10,4)</f>
        <v>0.0824</v>
      </c>
      <c r="O14" s="17">
        <f t="shared" si="0"/>
        <v>0.1891</v>
      </c>
      <c r="P14" s="17">
        <f t="shared" si="1"/>
        <v>-0.0284</v>
      </c>
      <c r="Q14" s="252">
        <f>ROUND(10/32*Q$5,4)</f>
        <v>0</v>
      </c>
      <c r="R14" s="17">
        <f t="shared" si="2"/>
        <v>0.004121</v>
      </c>
      <c r="S14" s="146">
        <f t="shared" si="3"/>
        <v>0.19</v>
      </c>
      <c r="V14" s="250">
        <f t="shared" si="7"/>
        <v>0.1941</v>
      </c>
      <c r="W14" s="249">
        <f t="shared" si="8"/>
        <v>0.19</v>
      </c>
      <c r="X14" s="30">
        <f t="shared" si="9"/>
        <v>0.0040999999999999925</v>
      </c>
      <c r="Y14">
        <f t="shared" si="10"/>
        <v>0.0040999999999999925</v>
      </c>
    </row>
    <row r="15" spans="1:25" ht="14.25" thickBot="1" thickTop="1">
      <c r="A15" s="260"/>
      <c r="B15" s="269"/>
      <c r="C15" s="7" t="s">
        <v>60</v>
      </c>
      <c r="D15" s="13">
        <f>'CNTNR COST'!G13</f>
        <v>0.089</v>
      </c>
      <c r="E15" s="12">
        <v>0</v>
      </c>
      <c r="F15" s="12">
        <v>0.0199</v>
      </c>
      <c r="G15" s="17">
        <f>ROUND($G$11/4,4)</f>
        <v>0</v>
      </c>
      <c r="H15" s="17">
        <f>ROUND($H$11/4,4)</f>
        <v>-0.0001</v>
      </c>
      <c r="I15" s="12">
        <f t="shared" si="4"/>
        <v>0.1088</v>
      </c>
      <c r="J15" s="12">
        <f t="shared" si="5"/>
        <v>0.003946113989637304</v>
      </c>
      <c r="K15" s="16">
        <f t="shared" si="6"/>
        <v>0.1127</v>
      </c>
      <c r="L15" s="12">
        <f>ROUND(L$11/4,4)</f>
        <v>-0.0317</v>
      </c>
      <c r="M15" s="12">
        <f>ROUND(M$11/4,4)</f>
        <v>0.066</v>
      </c>
      <c r="O15" s="17">
        <f t="shared" si="0"/>
        <v>0.147</v>
      </c>
      <c r="P15" s="17">
        <f t="shared" si="1"/>
        <v>-0.0221</v>
      </c>
      <c r="Q15" s="252">
        <f>ROUND(0.25*Q$5,4)</f>
        <v>0</v>
      </c>
      <c r="R15" s="17">
        <f t="shared" si="2"/>
        <v>0.003203</v>
      </c>
      <c r="S15" s="146">
        <f t="shared" si="3"/>
        <v>0.15</v>
      </c>
      <c r="V15" s="250">
        <f t="shared" si="7"/>
        <v>0.152</v>
      </c>
      <c r="W15" s="249">
        <f t="shared" si="8"/>
        <v>0.15</v>
      </c>
      <c r="X15" s="30">
        <f t="shared" si="9"/>
        <v>0.0020000000000000018</v>
      </c>
      <c r="Y15">
        <f t="shared" si="10"/>
        <v>0.0020000000000000018</v>
      </c>
    </row>
    <row r="16" spans="1:25" ht="14.25" thickBot="1" thickTop="1">
      <c r="A16" s="260"/>
      <c r="B16" s="269"/>
      <c r="C16" s="7" t="s">
        <v>61</v>
      </c>
      <c r="D16" s="13">
        <f>'CNTNR COST'!G14</f>
        <v>0.065</v>
      </c>
      <c r="E16" s="12">
        <v>0</v>
      </c>
      <c r="F16" s="12">
        <v>0.0271</v>
      </c>
      <c r="G16" s="17">
        <f>ROUND($G$11/8,4)</f>
        <v>0</v>
      </c>
      <c r="H16" s="17">
        <f>ROUND($H$11/8,4)</f>
        <v>0</v>
      </c>
      <c r="I16" s="12">
        <f t="shared" si="4"/>
        <v>0.0921</v>
      </c>
      <c r="J16" s="12">
        <f t="shared" si="5"/>
        <v>0.0033404145077720188</v>
      </c>
      <c r="K16" s="16">
        <f t="shared" si="6"/>
        <v>0.0954</v>
      </c>
      <c r="L16" s="12">
        <f>ROUND(L$11/8,4)</f>
        <v>-0.0158</v>
      </c>
      <c r="M16" s="12">
        <f>ROUND(M$11/8,4)</f>
        <v>0.033</v>
      </c>
      <c r="O16" s="17">
        <f t="shared" si="0"/>
        <v>0.1126</v>
      </c>
      <c r="P16" s="17">
        <f t="shared" si="1"/>
        <v>-0.0169</v>
      </c>
      <c r="Q16" s="252">
        <f>ROUND(0.125*Q$5,4)</f>
        <v>0</v>
      </c>
      <c r="R16" s="17">
        <f t="shared" si="2"/>
        <v>0.002454</v>
      </c>
      <c r="S16" s="146">
        <f t="shared" si="3"/>
        <v>0.12</v>
      </c>
      <c r="V16" s="250">
        <f t="shared" si="7"/>
        <v>0.1176</v>
      </c>
      <c r="W16" s="249">
        <f t="shared" si="8"/>
        <v>0.12</v>
      </c>
      <c r="X16" s="30">
        <f t="shared" si="9"/>
        <v>-0.0023999999999999994</v>
      </c>
      <c r="Y16">
        <f t="shared" si="10"/>
        <v>-0.0023999999999999994</v>
      </c>
    </row>
    <row r="17" spans="1:25" ht="14.25" thickBot="1" thickTop="1">
      <c r="A17" s="261"/>
      <c r="B17" s="270"/>
      <c r="C17" s="7" t="s">
        <v>82</v>
      </c>
      <c r="D17" s="24">
        <f>'CNTNR COST'!G15</f>
        <v>0.4096</v>
      </c>
      <c r="E17" s="25">
        <v>0</v>
      </c>
      <c r="F17" s="25">
        <v>0.1195</v>
      </c>
      <c r="G17" s="27">
        <f>ROUND($G$11,6)</f>
        <v>0</v>
      </c>
      <c r="H17" s="27">
        <f>ROUND($H$11,6)</f>
        <v>-0.0002</v>
      </c>
      <c r="I17" s="25">
        <f t="shared" si="4"/>
        <v>0.5289</v>
      </c>
      <c r="J17" s="25">
        <f t="shared" si="5"/>
        <v>0.019182901554404164</v>
      </c>
      <c r="K17" s="29">
        <f t="shared" si="6"/>
        <v>0.5481</v>
      </c>
      <c r="L17" s="25">
        <f>L$11</f>
        <v>-0.1267</v>
      </c>
      <c r="M17" s="25">
        <f>M$11</f>
        <v>0.2638</v>
      </c>
      <c r="O17" s="27">
        <f t="shared" si="0"/>
        <v>0.6852</v>
      </c>
      <c r="P17" s="27">
        <f t="shared" si="1"/>
        <v>-0.1028</v>
      </c>
      <c r="Q17" s="27">
        <f>Q$5</f>
        <v>0</v>
      </c>
      <c r="R17" s="27">
        <f t="shared" si="2"/>
        <v>0.014933</v>
      </c>
      <c r="S17" s="147">
        <f t="shared" si="3"/>
        <v>0.69</v>
      </c>
      <c r="V17" s="250">
        <f t="shared" si="7"/>
        <v>0.6902</v>
      </c>
      <c r="W17" s="249">
        <f t="shared" si="8"/>
        <v>0.69</v>
      </c>
      <c r="X17" s="30">
        <f t="shared" si="9"/>
        <v>0.000200000000000089</v>
      </c>
      <c r="Y17">
        <f t="shared" si="10"/>
        <v>0.000200000000000089</v>
      </c>
    </row>
    <row r="18" spans="3:19" ht="14.25" thickBot="1" thickTop="1">
      <c r="C18" s="171"/>
      <c r="K18" s="30"/>
      <c r="O18" s="18"/>
      <c r="P18" s="18"/>
      <c r="Q18" s="18"/>
      <c r="R18" s="18"/>
      <c r="S18" s="148"/>
    </row>
    <row r="19" spans="1:25" ht="14.25" thickBot="1" thickTop="1">
      <c r="A19" s="259" t="s">
        <v>138</v>
      </c>
      <c r="B19" s="268" t="s">
        <v>137</v>
      </c>
      <c r="C19" s="7" t="s">
        <v>13</v>
      </c>
      <c r="D19" s="23">
        <f>'CNTNR COST'!G17</f>
        <v>1.4248</v>
      </c>
      <c r="E19" s="11">
        <v>0</v>
      </c>
      <c r="F19" s="11">
        <f>+$F$9</f>
        <v>-0.0639</v>
      </c>
      <c r="G19" s="26">
        <f>ROUND($G$11*4,6)</f>
        <v>0</v>
      </c>
      <c r="H19" s="26">
        <f>ROUND($H$11*4,6)</f>
        <v>-0.0008</v>
      </c>
      <c r="I19" s="11">
        <f>ROUND(SUM(D19:H19),4)</f>
        <v>1.3601</v>
      </c>
      <c r="J19" s="11">
        <f>(I19/(1-$J$5))-I19</f>
        <v>0.04933005181347161</v>
      </c>
      <c r="K19" s="28">
        <f>ROUND(I19+J19,4)</f>
        <v>1.4094</v>
      </c>
      <c r="L19" s="11">
        <f>ROUND(L$11*4,4)</f>
        <v>-0.5068</v>
      </c>
      <c r="M19" s="11">
        <f>ROUND(M$11*4,4)</f>
        <v>1.0552</v>
      </c>
      <c r="O19" s="26">
        <f aca="true" t="shared" si="11" ref="O19:O27">ROUND(SUM(K19:N19),6)</f>
        <v>1.9578</v>
      </c>
      <c r="P19" s="26">
        <f aca="true" t="shared" si="12" ref="P19:P27">ROUND(O19*(-P$7),4)</f>
        <v>-0.2937</v>
      </c>
      <c r="Q19" s="26">
        <f>4*Q$5</f>
        <v>0</v>
      </c>
      <c r="R19" s="26">
        <f aca="true" t="shared" si="13" ref="R19:R27">ROUND(((Q19+P19+O19)/(1-R$5))-(Q19+P19+O19),6)</f>
        <v>0.042669</v>
      </c>
      <c r="S19" s="145">
        <f aca="true" t="shared" si="14" ref="S19:S27">IF(ROUND(SUM(O19:R19),2)&gt;O19,ROUND(SUM(O19:R19),2),ROUND(O19+0.005,2))</f>
        <v>1.96</v>
      </c>
      <c r="V19" s="250">
        <f>IF(ROUND(SUM(O19:R19),4)&gt;O19,ROUND(SUM(O19:R19),4),ROUND(O19+0.005,4))</f>
        <v>1.9628</v>
      </c>
      <c r="W19" s="249">
        <f>IF(ROUND(SUM(O19:R19),2)&gt;O19,ROUND(SUM(O19:R19),2),ROUND(O19+0.005,2))</f>
        <v>1.96</v>
      </c>
      <c r="X19" s="30">
        <f>V19-W19</f>
        <v>0.0028000000000001357</v>
      </c>
      <c r="Y19">
        <f t="shared" si="10"/>
        <v>0.0028000000000001357</v>
      </c>
    </row>
    <row r="20" spans="1:25" ht="14.25" thickBot="1" thickTop="1">
      <c r="A20" s="260"/>
      <c r="B20" s="269"/>
      <c r="C20" s="7" t="s">
        <v>58</v>
      </c>
      <c r="D20" s="13">
        <f>'CNTNR COST'!G18</f>
        <v>0.7124</v>
      </c>
      <c r="E20" s="12">
        <v>0</v>
      </c>
      <c r="F20" s="12">
        <f>+$F$10</f>
        <v>-0.0419</v>
      </c>
      <c r="G20" s="17">
        <f>ROUND($G$11*2,6)</f>
        <v>0</v>
      </c>
      <c r="H20" s="17">
        <f>ROUND($H$11*2,6)</f>
        <v>-0.0004</v>
      </c>
      <c r="I20" s="12">
        <f aca="true" t="shared" si="15" ref="I20:I27">ROUND(SUM(D20:H20),4)</f>
        <v>0.6701</v>
      </c>
      <c r="J20" s="12">
        <f aca="true" t="shared" si="16" ref="J20:J27">(I20/(1-$J$5))-I20</f>
        <v>0.024304145077720274</v>
      </c>
      <c r="K20" s="16">
        <f aca="true" t="shared" si="17" ref="K20:K27">ROUND(I20+J20,4)</f>
        <v>0.6944</v>
      </c>
      <c r="L20" s="12">
        <f>ROUND(L$11*2,4)</f>
        <v>-0.2534</v>
      </c>
      <c r="M20" s="12">
        <f>ROUND(M$11*2,4)</f>
        <v>0.5276</v>
      </c>
      <c r="O20" s="17">
        <f t="shared" si="11"/>
        <v>0.9686</v>
      </c>
      <c r="P20" s="17">
        <f t="shared" si="12"/>
        <v>-0.1453</v>
      </c>
      <c r="Q20" s="252">
        <f>2*Q$5</f>
        <v>0</v>
      </c>
      <c r="R20" s="17">
        <f t="shared" si="13"/>
        <v>0.02111</v>
      </c>
      <c r="S20" s="146">
        <f t="shared" si="14"/>
        <v>0.97</v>
      </c>
      <c r="V20" s="250">
        <f aca="true" t="shared" si="18" ref="V20:V27">IF(ROUND(SUM(O20:R20),4)&gt;O20,ROUND(SUM(O20:R20),4),ROUND(O20+0.005,4))</f>
        <v>0.9736</v>
      </c>
      <c r="W20" s="249">
        <f aca="true" t="shared" si="19" ref="W20:W27">IF(ROUND(SUM(O20:R20),2)&gt;O20,ROUND(SUM(O20:R20),2),ROUND(O20+0.005,2))</f>
        <v>0.97</v>
      </c>
      <c r="X20" s="30">
        <f aca="true" t="shared" si="20" ref="X20:X27">V20-W20</f>
        <v>0.0036000000000000476</v>
      </c>
      <c r="Y20">
        <f t="shared" si="10"/>
        <v>0.0036000000000000476</v>
      </c>
    </row>
    <row r="21" spans="1:25" ht="14.25" thickBot="1" thickTop="1">
      <c r="A21" s="260"/>
      <c r="B21" s="269"/>
      <c r="C21" s="7" t="s">
        <v>15</v>
      </c>
      <c r="D21" s="13">
        <f>'CNTNR COST'!G19</f>
        <v>0.3562</v>
      </c>
      <c r="E21" s="12">
        <v>0</v>
      </c>
      <c r="F21" s="12">
        <f>+$F$11</f>
        <v>0.028</v>
      </c>
      <c r="G21" s="12">
        <f>Energy_Addon</f>
        <v>0</v>
      </c>
      <c r="H21" s="17">
        <f>ROUND(COST_UPDATE_ADJ,4)</f>
        <v>-0.0002</v>
      </c>
      <c r="I21" s="12">
        <f t="shared" si="15"/>
        <v>0.384</v>
      </c>
      <c r="J21" s="12">
        <f t="shared" si="16"/>
        <v>0.013927461139896402</v>
      </c>
      <c r="K21" s="16">
        <f t="shared" si="17"/>
        <v>0.3979</v>
      </c>
      <c r="L21" s="12">
        <f>$L$11</f>
        <v>-0.1267</v>
      </c>
      <c r="M21" s="12">
        <f>$M$11</f>
        <v>0.2638</v>
      </c>
      <c r="O21" s="17">
        <f t="shared" si="11"/>
        <v>0.535</v>
      </c>
      <c r="P21" s="17">
        <f t="shared" si="12"/>
        <v>-0.0803</v>
      </c>
      <c r="Q21" s="252">
        <f>Q$5</f>
        <v>0</v>
      </c>
      <c r="R21" s="17">
        <f t="shared" si="13"/>
        <v>0.011659</v>
      </c>
      <c r="S21" s="146">
        <f t="shared" si="14"/>
        <v>0.54</v>
      </c>
      <c r="V21" s="250">
        <f t="shared" si="18"/>
        <v>0.54</v>
      </c>
      <c r="W21" s="249">
        <f t="shared" si="19"/>
        <v>0.54</v>
      </c>
      <c r="X21" s="30">
        <f t="shared" si="20"/>
        <v>0</v>
      </c>
      <c r="Y21">
        <f t="shared" si="10"/>
        <v>0</v>
      </c>
    </row>
    <row r="22" spans="1:25" ht="14.25" thickBot="1" thickTop="1">
      <c r="A22" s="260"/>
      <c r="B22" s="269"/>
      <c r="C22" s="7" t="s">
        <v>16</v>
      </c>
      <c r="D22" s="13">
        <f>'CNTNR COST'!G20</f>
        <v>0.1781</v>
      </c>
      <c r="E22" s="12">
        <v>0</v>
      </c>
      <c r="F22" s="12">
        <f>+$F$12</f>
        <v>0.0549</v>
      </c>
      <c r="G22" s="17">
        <f>ROUND($G$11/2,4)</f>
        <v>0</v>
      </c>
      <c r="H22" s="17">
        <f>ROUND($H$11/2,4)</f>
        <v>-0.0001</v>
      </c>
      <c r="I22" s="12">
        <f t="shared" si="15"/>
        <v>0.2329</v>
      </c>
      <c r="J22" s="12">
        <f t="shared" si="16"/>
        <v>0.008447150259067365</v>
      </c>
      <c r="K22" s="16">
        <f t="shared" si="17"/>
        <v>0.2413</v>
      </c>
      <c r="L22" s="12">
        <f>ROUND(L$11/2,4)</f>
        <v>-0.0634</v>
      </c>
      <c r="M22" s="12">
        <f>ROUND(M$11/2,4)</f>
        <v>0.1319</v>
      </c>
      <c r="O22" s="17">
        <f t="shared" si="11"/>
        <v>0.3098</v>
      </c>
      <c r="P22" s="17">
        <f t="shared" si="12"/>
        <v>-0.0465</v>
      </c>
      <c r="Q22" s="252">
        <f>ROUND(0.5*Q$5,4)</f>
        <v>0</v>
      </c>
      <c r="R22" s="17">
        <f t="shared" si="13"/>
        <v>0.006751</v>
      </c>
      <c r="S22" s="146">
        <f t="shared" si="14"/>
        <v>0.31</v>
      </c>
      <c r="V22" s="250">
        <f t="shared" si="18"/>
        <v>0.3148</v>
      </c>
      <c r="W22" s="249">
        <f t="shared" si="19"/>
        <v>0.31</v>
      </c>
      <c r="X22" s="30">
        <f t="shared" si="20"/>
        <v>0.0048000000000000265</v>
      </c>
      <c r="Y22">
        <f t="shared" si="10"/>
        <v>0.0048000000000000265</v>
      </c>
    </row>
    <row r="23" spans="1:25" ht="14.25" thickBot="1" thickTop="1">
      <c r="A23" s="260"/>
      <c r="B23" s="269"/>
      <c r="C23" s="7" t="s">
        <v>153</v>
      </c>
      <c r="D23" s="13">
        <f>'CNTNR COST'!G21</f>
        <v>0.1697</v>
      </c>
      <c r="E23" s="12"/>
      <c r="F23" s="12">
        <f>+$F$13</f>
        <v>0</v>
      </c>
      <c r="G23" s="17">
        <f>ROUND($G$11/32*12,4)</f>
        <v>0</v>
      </c>
      <c r="H23" s="17">
        <f>ROUND($H$11/32*12,4)</f>
        <v>-0.0001</v>
      </c>
      <c r="I23" s="12">
        <f t="shared" si="15"/>
        <v>0.1696</v>
      </c>
      <c r="J23" s="12">
        <f t="shared" si="16"/>
        <v>0.006151295336787571</v>
      </c>
      <c r="K23" s="16">
        <f t="shared" si="17"/>
        <v>0.1758</v>
      </c>
      <c r="L23" s="12">
        <f>ROUND(L$11/32*12,4)</f>
        <v>-0.0475</v>
      </c>
      <c r="M23" s="12">
        <f>ROUND(M$11/32*12,4)</f>
        <v>0.0989</v>
      </c>
      <c r="O23" s="17">
        <f t="shared" si="11"/>
        <v>0.2272</v>
      </c>
      <c r="P23" s="17">
        <f t="shared" si="12"/>
        <v>-0.0341</v>
      </c>
      <c r="Q23" s="252">
        <f>ROUND(12/32*Q$5,4)</f>
        <v>0</v>
      </c>
      <c r="R23" s="17">
        <f t="shared" si="13"/>
        <v>0.004951</v>
      </c>
      <c r="S23" s="146">
        <f t="shared" si="14"/>
        <v>0.23</v>
      </c>
      <c r="V23" s="250">
        <f t="shared" si="18"/>
        <v>0.2322</v>
      </c>
      <c r="W23" s="249">
        <f t="shared" si="19"/>
        <v>0.23</v>
      </c>
      <c r="X23" s="30">
        <f t="shared" si="20"/>
        <v>0.0021999999999999797</v>
      </c>
      <c r="Y23">
        <f t="shared" si="10"/>
        <v>0.0021999999999999797</v>
      </c>
    </row>
    <row r="24" spans="1:25" ht="14.25" thickBot="1" thickTop="1">
      <c r="A24" s="260"/>
      <c r="B24" s="269"/>
      <c r="C24" s="7" t="s">
        <v>59</v>
      </c>
      <c r="D24" s="13">
        <f>'CNTNR COST'!G22</f>
        <v>0.1414</v>
      </c>
      <c r="E24" s="12">
        <v>0</v>
      </c>
      <c r="F24" s="12">
        <f>+$F$14</f>
        <v>0</v>
      </c>
      <c r="G24" s="17">
        <f>ROUND($G$11/32*10,4)</f>
        <v>0</v>
      </c>
      <c r="H24" s="17">
        <f>ROUND($H$11/32*10,4)</f>
        <v>-0.0001</v>
      </c>
      <c r="I24" s="12">
        <f t="shared" si="15"/>
        <v>0.1413</v>
      </c>
      <c r="J24" s="12">
        <f t="shared" si="16"/>
        <v>0.005124870466321235</v>
      </c>
      <c r="K24" s="16">
        <f t="shared" si="17"/>
        <v>0.1464</v>
      </c>
      <c r="L24" s="12">
        <f>ROUND(L$11/32*10,4)</f>
        <v>-0.0396</v>
      </c>
      <c r="M24" s="12">
        <f>ROUND(M$11/32*10,4)</f>
        <v>0.0824</v>
      </c>
      <c r="O24" s="17">
        <f t="shared" si="11"/>
        <v>0.1892</v>
      </c>
      <c r="P24" s="17">
        <f t="shared" si="12"/>
        <v>-0.0284</v>
      </c>
      <c r="Q24" s="252">
        <f>ROUND(10/32*Q$5,4)</f>
        <v>0</v>
      </c>
      <c r="R24" s="17">
        <f t="shared" si="13"/>
        <v>0.004123</v>
      </c>
      <c r="S24" s="146">
        <f t="shared" si="14"/>
        <v>0.19</v>
      </c>
      <c r="V24" s="250">
        <f t="shared" si="18"/>
        <v>0.1942</v>
      </c>
      <c r="W24" s="249">
        <f t="shared" si="19"/>
        <v>0.19</v>
      </c>
      <c r="X24" s="30">
        <f t="shared" si="20"/>
        <v>0.004200000000000009</v>
      </c>
      <c r="Y24">
        <f t="shared" si="10"/>
        <v>0.004200000000000009</v>
      </c>
    </row>
    <row r="25" spans="1:25" ht="14.25" thickBot="1" thickTop="1">
      <c r="A25" s="260"/>
      <c r="B25" s="269"/>
      <c r="C25" s="7" t="s">
        <v>60</v>
      </c>
      <c r="D25" s="13">
        <f>'CNTNR COST'!G23</f>
        <v>0.0891</v>
      </c>
      <c r="E25" s="12">
        <v>0</v>
      </c>
      <c r="F25" s="12">
        <f>+$F$15</f>
        <v>0.0199</v>
      </c>
      <c r="G25" s="17">
        <f>ROUND($G$11/4,4)</f>
        <v>0</v>
      </c>
      <c r="H25" s="17">
        <f>ROUND($H$11/4,4)</f>
        <v>-0.0001</v>
      </c>
      <c r="I25" s="12">
        <f t="shared" si="15"/>
        <v>0.1089</v>
      </c>
      <c r="J25" s="12">
        <f t="shared" si="16"/>
        <v>0.003949740932642484</v>
      </c>
      <c r="K25" s="16">
        <f t="shared" si="17"/>
        <v>0.1128</v>
      </c>
      <c r="L25" s="12">
        <f>ROUND(L$11/4,4)</f>
        <v>-0.0317</v>
      </c>
      <c r="M25" s="12">
        <f>ROUND(M$11/4,4)</f>
        <v>0.066</v>
      </c>
      <c r="O25" s="17">
        <f t="shared" si="11"/>
        <v>0.1471</v>
      </c>
      <c r="P25" s="17">
        <f t="shared" si="12"/>
        <v>-0.0221</v>
      </c>
      <c r="Q25" s="252">
        <f>ROUND(0.25*Q$5,4)</f>
        <v>0</v>
      </c>
      <c r="R25" s="17">
        <f t="shared" si="13"/>
        <v>0.003205</v>
      </c>
      <c r="S25" s="146">
        <f t="shared" si="14"/>
        <v>0.15</v>
      </c>
      <c r="V25" s="250">
        <f t="shared" si="18"/>
        <v>0.1521</v>
      </c>
      <c r="W25" s="249">
        <f t="shared" si="19"/>
        <v>0.15</v>
      </c>
      <c r="X25" s="30">
        <f t="shared" si="20"/>
        <v>0.0021000000000000185</v>
      </c>
      <c r="Y25">
        <f t="shared" si="10"/>
        <v>0.0021000000000000185</v>
      </c>
    </row>
    <row r="26" spans="1:25" ht="14.25" thickBot="1" thickTop="1">
      <c r="A26" s="260"/>
      <c r="B26" s="269"/>
      <c r="C26" s="7" t="s">
        <v>61</v>
      </c>
      <c r="D26" s="13">
        <f>'CNTNR COST'!G24</f>
        <v>0.0651</v>
      </c>
      <c r="E26" s="12">
        <v>0</v>
      </c>
      <c r="F26" s="12">
        <f>+$F$16</f>
        <v>0.0271</v>
      </c>
      <c r="G26" s="17">
        <f>ROUND($G$11/8,4)</f>
        <v>0</v>
      </c>
      <c r="H26" s="17">
        <f>ROUND($H$11/8,4)</f>
        <v>0</v>
      </c>
      <c r="I26" s="12">
        <f t="shared" si="15"/>
        <v>0.0922</v>
      </c>
      <c r="J26" s="12">
        <f t="shared" si="16"/>
        <v>0.0033440414507771993</v>
      </c>
      <c r="K26" s="16">
        <f t="shared" si="17"/>
        <v>0.0955</v>
      </c>
      <c r="L26" s="12">
        <f>ROUND(L$11/8,4)</f>
        <v>-0.0158</v>
      </c>
      <c r="M26" s="12">
        <f>ROUND(M$11/8,4)</f>
        <v>0.033</v>
      </c>
      <c r="O26" s="17">
        <f t="shared" si="11"/>
        <v>0.1127</v>
      </c>
      <c r="P26" s="17">
        <f t="shared" si="12"/>
        <v>-0.0169</v>
      </c>
      <c r="Q26" s="252">
        <f>ROUND(0.125*Q$5,4)</f>
        <v>0</v>
      </c>
      <c r="R26" s="17">
        <f t="shared" si="13"/>
        <v>0.002456</v>
      </c>
      <c r="S26" s="146">
        <f t="shared" si="14"/>
        <v>0.12</v>
      </c>
      <c r="V26" s="250">
        <f t="shared" si="18"/>
        <v>0.1177</v>
      </c>
      <c r="W26" s="249">
        <f t="shared" si="19"/>
        <v>0.12</v>
      </c>
      <c r="X26" s="30">
        <f t="shared" si="20"/>
        <v>-0.0022999999999999965</v>
      </c>
      <c r="Y26">
        <f t="shared" si="10"/>
        <v>-0.0022999999999999965</v>
      </c>
    </row>
    <row r="27" spans="1:25" ht="14.25" thickBot="1" thickTop="1">
      <c r="A27" s="261"/>
      <c r="B27" s="270"/>
      <c r="C27" s="7" t="s">
        <v>82</v>
      </c>
      <c r="D27" s="24">
        <f>'CNTNR COST'!G25</f>
        <v>0.41</v>
      </c>
      <c r="E27" s="25">
        <v>0</v>
      </c>
      <c r="F27" s="25">
        <f>+$F$17</f>
        <v>0.1195</v>
      </c>
      <c r="G27" s="27">
        <f>ROUND($G$11,6)</f>
        <v>0</v>
      </c>
      <c r="H27" s="27">
        <f>ROUND($H$11,6)</f>
        <v>-0.0002</v>
      </c>
      <c r="I27" s="25">
        <f t="shared" si="15"/>
        <v>0.5293</v>
      </c>
      <c r="J27" s="25">
        <f t="shared" si="16"/>
        <v>0.019197409326424886</v>
      </c>
      <c r="K27" s="29">
        <f t="shared" si="17"/>
        <v>0.5485</v>
      </c>
      <c r="L27" s="25">
        <f>L$11</f>
        <v>-0.1267</v>
      </c>
      <c r="M27" s="25">
        <f>M$11</f>
        <v>0.2638</v>
      </c>
      <c r="O27" s="27">
        <f t="shared" si="11"/>
        <v>0.6856</v>
      </c>
      <c r="P27" s="27">
        <f t="shared" si="12"/>
        <v>-0.1028</v>
      </c>
      <c r="Q27" s="27">
        <f>Q$5</f>
        <v>0</v>
      </c>
      <c r="R27" s="27">
        <f t="shared" si="13"/>
        <v>0.014944</v>
      </c>
      <c r="S27" s="147">
        <f t="shared" si="14"/>
        <v>0.69</v>
      </c>
      <c r="V27" s="250">
        <f t="shared" si="18"/>
        <v>0.6906</v>
      </c>
      <c r="W27" s="249">
        <f t="shared" si="19"/>
        <v>0.69</v>
      </c>
      <c r="X27" s="30">
        <f t="shared" si="20"/>
        <v>0.0006000000000000449</v>
      </c>
      <c r="Y27">
        <f t="shared" si="10"/>
        <v>0.0006000000000000449</v>
      </c>
    </row>
    <row r="28" spans="3:19" ht="14.25" thickBot="1" thickTop="1">
      <c r="C28" s="171"/>
      <c r="K28" s="30"/>
      <c r="O28" s="18"/>
      <c r="P28" s="18"/>
      <c r="Q28" s="18"/>
      <c r="R28" s="18"/>
      <c r="S28" s="148"/>
    </row>
    <row r="29" spans="1:25" ht="14.25" thickBot="1" thickTop="1">
      <c r="A29" s="259" t="s">
        <v>139</v>
      </c>
      <c r="B29" s="268" t="s">
        <v>137</v>
      </c>
      <c r="C29" s="7" t="s">
        <v>13</v>
      </c>
      <c r="D29" s="23">
        <f>'CNTNR COST'!G27</f>
        <v>1.4248</v>
      </c>
      <c r="E29" s="11">
        <v>0</v>
      </c>
      <c r="F29" s="11">
        <f>+$F$9</f>
        <v>-0.0639</v>
      </c>
      <c r="G29" s="26">
        <f>ROUND($G$11*4,6)</f>
        <v>0</v>
      </c>
      <c r="H29" s="26">
        <f>ROUND($H$11*4,6)</f>
        <v>-0.0008</v>
      </c>
      <c r="I29" s="11">
        <f>ROUND(SUM(D29:H29),4)</f>
        <v>1.3601</v>
      </c>
      <c r="J29" s="11">
        <f>(I29/(1-$J$5))-I29</f>
        <v>0.04933005181347161</v>
      </c>
      <c r="K29" s="28">
        <f>ROUND(I29+J29,4)</f>
        <v>1.4094</v>
      </c>
      <c r="L29" s="11">
        <f>ROUND(L$11*4,4)</f>
        <v>-0.5068</v>
      </c>
      <c r="M29" s="11">
        <f>ROUND(M$11*4,4)</f>
        <v>1.0552</v>
      </c>
      <c r="O29" s="26">
        <f aca="true" t="shared" si="21" ref="O29:O37">ROUND(SUM(K29:N29),6)</f>
        <v>1.9578</v>
      </c>
      <c r="P29" s="26">
        <f aca="true" t="shared" si="22" ref="P29:P37">ROUND(O29*(-P$7),4)</f>
        <v>-0.2937</v>
      </c>
      <c r="Q29" s="26">
        <f>4*Q$5</f>
        <v>0</v>
      </c>
      <c r="R29" s="26">
        <f aca="true" t="shared" si="23" ref="R29:R37">ROUND(((Q29+P29+O29)/(1-R$5))-(Q29+P29+O29),4)</f>
        <v>0.0427</v>
      </c>
      <c r="S29" s="145">
        <f aca="true" t="shared" si="24" ref="S29:S37">IF(ROUND(SUM(O29:R29),2)&gt;O29,ROUND(SUM(O29:R29),2),ROUND(O29+0.005,2))</f>
        <v>1.96</v>
      </c>
      <c r="V29" s="251">
        <f>IF(ROUND(SUM(O29:R29),6)&gt;O29,ROUND(SUM(O29:R29),6),ROUND(O29+0.005,6))</f>
        <v>1.9628</v>
      </c>
      <c r="W29" s="249">
        <f>IF(ROUND(SUM(O29:R29),2)&gt;O29,ROUND(SUM(O29:R29),2),ROUND(O29+0.005,2))</f>
        <v>1.96</v>
      </c>
      <c r="X29" s="30">
        <f>V29-W29</f>
        <v>0.0028000000000001357</v>
      </c>
      <c r="Y29" s="30">
        <f t="shared" si="10"/>
        <v>0.0028000000000001357</v>
      </c>
    </row>
    <row r="30" spans="1:25" ht="14.25" thickBot="1" thickTop="1">
      <c r="A30" s="260"/>
      <c r="B30" s="269"/>
      <c r="C30" s="7" t="s">
        <v>58</v>
      </c>
      <c r="D30" s="13">
        <f>'CNTNR COST'!G28</f>
        <v>0.7124</v>
      </c>
      <c r="E30" s="12">
        <v>0</v>
      </c>
      <c r="F30" s="12">
        <f>+$F$10</f>
        <v>-0.0419</v>
      </c>
      <c r="G30" s="17">
        <f>ROUND($G$11*2,6)</f>
        <v>0</v>
      </c>
      <c r="H30" s="17">
        <f>ROUND($H$11*2,6)</f>
        <v>-0.0004</v>
      </c>
      <c r="I30" s="12">
        <f aca="true" t="shared" si="25" ref="I30:I37">ROUND(SUM(D30:H30),4)</f>
        <v>0.6701</v>
      </c>
      <c r="J30" s="12">
        <f aca="true" t="shared" si="26" ref="J30:J37">(I30/(1-$J$5))-I30</f>
        <v>0.024304145077720274</v>
      </c>
      <c r="K30" s="16">
        <f aca="true" t="shared" si="27" ref="K30:K37">ROUND(I30+J30,4)</f>
        <v>0.6944</v>
      </c>
      <c r="L30" s="12">
        <f>ROUND(L$11*2,4)</f>
        <v>-0.2534</v>
      </c>
      <c r="M30" s="12">
        <f>ROUND(M$11*2,4)</f>
        <v>0.5276</v>
      </c>
      <c r="O30" s="17">
        <f t="shared" si="21"/>
        <v>0.9686</v>
      </c>
      <c r="P30" s="17">
        <f t="shared" si="22"/>
        <v>-0.1453</v>
      </c>
      <c r="Q30" s="252">
        <f>2*Q$5</f>
        <v>0</v>
      </c>
      <c r="R30" s="17">
        <f t="shared" si="23"/>
        <v>0.0211</v>
      </c>
      <c r="S30" s="146">
        <f t="shared" si="24"/>
        <v>0.97</v>
      </c>
      <c r="V30" s="250">
        <f aca="true" t="shared" si="28" ref="V30:V37">IF(ROUND(SUM(O30:R30),4)&gt;O30,ROUND(SUM(O30:R30),4),ROUND(O30+0.005,4))</f>
        <v>0.9736</v>
      </c>
      <c r="W30" s="249">
        <f aca="true" t="shared" si="29" ref="W30:W37">IF(ROUND(SUM(O30:R30),2)&gt;O30,ROUND(SUM(O30:R30),2),ROUND(O30+0.005,2))</f>
        <v>0.97</v>
      </c>
      <c r="X30" s="30">
        <f aca="true" t="shared" si="30" ref="X30:X37">V30-W30</f>
        <v>0.0036000000000000476</v>
      </c>
      <c r="Y30">
        <f t="shared" si="10"/>
        <v>0.0036000000000000476</v>
      </c>
    </row>
    <row r="31" spans="1:25" ht="14.25" thickBot="1" thickTop="1">
      <c r="A31" s="260"/>
      <c r="B31" s="269"/>
      <c r="C31" s="7" t="s">
        <v>15</v>
      </c>
      <c r="D31" s="13">
        <f>'CNTNR COST'!G29</f>
        <v>0.3562</v>
      </c>
      <c r="E31" s="12">
        <v>0</v>
      </c>
      <c r="F31" s="12">
        <f>+$F$11</f>
        <v>0.028</v>
      </c>
      <c r="G31" s="12">
        <f>Energy_Addon</f>
        <v>0</v>
      </c>
      <c r="H31" s="17">
        <f>ROUND(COST_UPDATE_ADJ,4)</f>
        <v>-0.0002</v>
      </c>
      <c r="I31" s="12">
        <f t="shared" si="25"/>
        <v>0.384</v>
      </c>
      <c r="J31" s="12">
        <f t="shared" si="26"/>
        <v>0.013927461139896402</v>
      </c>
      <c r="K31" s="16">
        <f t="shared" si="27"/>
        <v>0.3979</v>
      </c>
      <c r="L31" s="12">
        <f>$L$11</f>
        <v>-0.1267</v>
      </c>
      <c r="M31" s="12">
        <f>$M$11</f>
        <v>0.2638</v>
      </c>
      <c r="O31" s="17">
        <f t="shared" si="21"/>
        <v>0.535</v>
      </c>
      <c r="P31" s="17">
        <f t="shared" si="22"/>
        <v>-0.0803</v>
      </c>
      <c r="Q31" s="252">
        <f>Q$5</f>
        <v>0</v>
      </c>
      <c r="R31" s="17">
        <f t="shared" si="23"/>
        <v>0.0117</v>
      </c>
      <c r="S31" s="146">
        <f t="shared" si="24"/>
        <v>0.54</v>
      </c>
      <c r="V31" s="250">
        <f t="shared" si="28"/>
        <v>0.54</v>
      </c>
      <c r="W31" s="249">
        <f t="shared" si="29"/>
        <v>0.54</v>
      </c>
      <c r="X31" s="30">
        <f t="shared" si="30"/>
        <v>0</v>
      </c>
      <c r="Y31">
        <f t="shared" si="10"/>
        <v>0</v>
      </c>
    </row>
    <row r="32" spans="1:25" ht="14.25" thickBot="1" thickTop="1">
      <c r="A32" s="260"/>
      <c r="B32" s="269"/>
      <c r="C32" s="7" t="s">
        <v>16</v>
      </c>
      <c r="D32" s="13">
        <f>'CNTNR COST'!G30</f>
        <v>0.1781</v>
      </c>
      <c r="E32" s="12">
        <v>0</v>
      </c>
      <c r="F32" s="12">
        <f>+$F$12</f>
        <v>0.0549</v>
      </c>
      <c r="G32" s="17">
        <f>ROUND($G$11/2,4)</f>
        <v>0</v>
      </c>
      <c r="H32" s="17">
        <f>ROUND($H$11/2,4)</f>
        <v>-0.0001</v>
      </c>
      <c r="I32" s="12">
        <f t="shared" si="25"/>
        <v>0.2329</v>
      </c>
      <c r="J32" s="12">
        <f t="shared" si="26"/>
        <v>0.008447150259067365</v>
      </c>
      <c r="K32" s="16">
        <f t="shared" si="27"/>
        <v>0.2413</v>
      </c>
      <c r="L32" s="12">
        <f>ROUND(L$11/2,4)</f>
        <v>-0.0634</v>
      </c>
      <c r="M32" s="12">
        <f>ROUND(M$11/2,4)</f>
        <v>0.1319</v>
      </c>
      <c r="O32" s="17">
        <f t="shared" si="21"/>
        <v>0.3098</v>
      </c>
      <c r="P32" s="17">
        <f t="shared" si="22"/>
        <v>-0.0465</v>
      </c>
      <c r="Q32" s="252">
        <f>ROUND(0.5*Q$5,4)</f>
        <v>0</v>
      </c>
      <c r="R32" s="17">
        <f t="shared" si="23"/>
        <v>0.0068</v>
      </c>
      <c r="S32" s="146">
        <f t="shared" si="24"/>
        <v>0.31</v>
      </c>
      <c r="V32" s="250">
        <f t="shared" si="28"/>
        <v>0.3148</v>
      </c>
      <c r="W32" s="249">
        <f t="shared" si="29"/>
        <v>0.31</v>
      </c>
      <c r="X32" s="30">
        <f t="shared" si="30"/>
        <v>0.0048000000000000265</v>
      </c>
      <c r="Y32">
        <f t="shared" si="10"/>
        <v>0.0048000000000000265</v>
      </c>
    </row>
    <row r="33" spans="1:25" ht="14.25" thickBot="1" thickTop="1">
      <c r="A33" s="260"/>
      <c r="B33" s="269"/>
      <c r="C33" s="7" t="s">
        <v>153</v>
      </c>
      <c r="D33" s="13">
        <f>'CNTNR COST'!G31</f>
        <v>0.1697</v>
      </c>
      <c r="E33" s="12"/>
      <c r="F33" s="12">
        <f>+$F$13</f>
        <v>0</v>
      </c>
      <c r="G33" s="17">
        <f>ROUND($G$11/32*12,4)</f>
        <v>0</v>
      </c>
      <c r="H33" s="17">
        <f>ROUND($H$11/32*12,4)</f>
        <v>-0.0001</v>
      </c>
      <c r="I33" s="12">
        <f t="shared" si="25"/>
        <v>0.1696</v>
      </c>
      <c r="J33" s="12">
        <f t="shared" si="26"/>
        <v>0.006151295336787571</v>
      </c>
      <c r="K33" s="16">
        <f t="shared" si="27"/>
        <v>0.1758</v>
      </c>
      <c r="L33" s="12">
        <f>ROUND(L$11/32*12,4)</f>
        <v>-0.0475</v>
      </c>
      <c r="M33" s="12">
        <f>ROUND(M$11/32*12,4)</f>
        <v>0.0989</v>
      </c>
      <c r="O33" s="17">
        <f t="shared" si="21"/>
        <v>0.2272</v>
      </c>
      <c r="P33" s="17">
        <f t="shared" si="22"/>
        <v>-0.0341</v>
      </c>
      <c r="Q33" s="252">
        <f>ROUND(12/32*Q$5,4)</f>
        <v>0</v>
      </c>
      <c r="R33" s="17">
        <f t="shared" si="23"/>
        <v>0.005</v>
      </c>
      <c r="S33" s="146">
        <f t="shared" si="24"/>
        <v>0.23</v>
      </c>
      <c r="V33" s="250">
        <f t="shared" si="28"/>
        <v>0.2322</v>
      </c>
      <c r="W33" s="249">
        <f t="shared" si="29"/>
        <v>0.23</v>
      </c>
      <c r="X33" s="30">
        <f t="shared" si="30"/>
        <v>0.0021999999999999797</v>
      </c>
      <c r="Y33">
        <f t="shared" si="10"/>
        <v>0.0021999999999999797</v>
      </c>
    </row>
    <row r="34" spans="1:25" ht="14.25" thickBot="1" thickTop="1">
      <c r="A34" s="260"/>
      <c r="B34" s="269"/>
      <c r="C34" s="7" t="s">
        <v>59</v>
      </c>
      <c r="D34" s="13">
        <f>'CNTNR COST'!G32</f>
        <v>0.1414</v>
      </c>
      <c r="E34" s="12">
        <v>0</v>
      </c>
      <c r="F34" s="12">
        <f>+$F$14</f>
        <v>0</v>
      </c>
      <c r="G34" s="17">
        <f>ROUND($G$11/32*10,4)</f>
        <v>0</v>
      </c>
      <c r="H34" s="17">
        <f>ROUND($H$11/32*10,4)</f>
        <v>-0.0001</v>
      </c>
      <c r="I34" s="12">
        <f t="shared" si="25"/>
        <v>0.1413</v>
      </c>
      <c r="J34" s="12">
        <f t="shared" si="26"/>
        <v>0.005124870466321235</v>
      </c>
      <c r="K34" s="16">
        <f t="shared" si="27"/>
        <v>0.1464</v>
      </c>
      <c r="L34" s="12">
        <f>ROUND(L$11/32*10,4)</f>
        <v>-0.0396</v>
      </c>
      <c r="M34" s="12">
        <f>ROUND(M$11/32*10,4)</f>
        <v>0.0824</v>
      </c>
      <c r="O34" s="17">
        <f t="shared" si="21"/>
        <v>0.1892</v>
      </c>
      <c r="P34" s="17">
        <f t="shared" si="22"/>
        <v>-0.0284</v>
      </c>
      <c r="Q34" s="252">
        <f>ROUND(10/32*Q$5,4)</f>
        <v>0</v>
      </c>
      <c r="R34" s="17">
        <f t="shared" si="23"/>
        <v>0.0041</v>
      </c>
      <c r="S34" s="146">
        <f t="shared" si="24"/>
        <v>0.19</v>
      </c>
      <c r="V34" s="250">
        <f t="shared" si="28"/>
        <v>0.1942</v>
      </c>
      <c r="W34" s="249">
        <f t="shared" si="29"/>
        <v>0.19</v>
      </c>
      <c r="X34" s="30">
        <f t="shared" si="30"/>
        <v>0.004200000000000009</v>
      </c>
      <c r="Y34">
        <f t="shared" si="10"/>
        <v>0.004200000000000009</v>
      </c>
    </row>
    <row r="35" spans="1:25" ht="14.25" thickBot="1" thickTop="1">
      <c r="A35" s="260"/>
      <c r="B35" s="269"/>
      <c r="C35" s="7" t="s">
        <v>60</v>
      </c>
      <c r="D35" s="13">
        <f>'CNTNR COST'!G33</f>
        <v>0.0891</v>
      </c>
      <c r="E35" s="12">
        <v>0</v>
      </c>
      <c r="F35" s="12">
        <f>+$F$15</f>
        <v>0.0199</v>
      </c>
      <c r="G35" s="17">
        <f>ROUND($G$11/4,4)</f>
        <v>0</v>
      </c>
      <c r="H35" s="17">
        <f>ROUND($H$11/4,4)</f>
        <v>-0.0001</v>
      </c>
      <c r="I35" s="12">
        <f t="shared" si="25"/>
        <v>0.1089</v>
      </c>
      <c r="J35" s="12">
        <f t="shared" si="26"/>
        <v>0.003949740932642484</v>
      </c>
      <c r="K35" s="16">
        <f t="shared" si="27"/>
        <v>0.1128</v>
      </c>
      <c r="L35" s="12">
        <f>ROUND(L$11/4,4)</f>
        <v>-0.0317</v>
      </c>
      <c r="M35" s="12">
        <f>ROUND(M$11/4,4)</f>
        <v>0.066</v>
      </c>
      <c r="O35" s="17">
        <f t="shared" si="21"/>
        <v>0.1471</v>
      </c>
      <c r="P35" s="17">
        <f t="shared" si="22"/>
        <v>-0.0221</v>
      </c>
      <c r="Q35" s="252">
        <f>ROUND(0.25*Q$5,4)</f>
        <v>0</v>
      </c>
      <c r="R35" s="17">
        <f t="shared" si="23"/>
        <v>0.0032</v>
      </c>
      <c r="S35" s="146">
        <f t="shared" si="24"/>
        <v>0.15</v>
      </c>
      <c r="V35" s="250">
        <f t="shared" si="28"/>
        <v>0.1521</v>
      </c>
      <c r="W35" s="249">
        <f t="shared" si="29"/>
        <v>0.15</v>
      </c>
      <c r="X35" s="30">
        <f t="shared" si="30"/>
        <v>0.0021000000000000185</v>
      </c>
      <c r="Y35">
        <f t="shared" si="10"/>
        <v>0.0021000000000000185</v>
      </c>
    </row>
    <row r="36" spans="1:25" ht="14.25" thickBot="1" thickTop="1">
      <c r="A36" s="260"/>
      <c r="B36" s="269"/>
      <c r="C36" s="7" t="s">
        <v>61</v>
      </c>
      <c r="D36" s="13">
        <f>'CNTNR COST'!G34</f>
        <v>0.0651</v>
      </c>
      <c r="E36" s="12">
        <v>0</v>
      </c>
      <c r="F36" s="12">
        <f>+$F$16</f>
        <v>0.0271</v>
      </c>
      <c r="G36" s="17">
        <f>ROUND($G$11/8,4)</f>
        <v>0</v>
      </c>
      <c r="H36" s="17">
        <f>ROUND($H$11/8,4)</f>
        <v>0</v>
      </c>
      <c r="I36" s="12">
        <f t="shared" si="25"/>
        <v>0.0922</v>
      </c>
      <c r="J36" s="12">
        <f t="shared" si="26"/>
        <v>0.0033440414507771993</v>
      </c>
      <c r="K36" s="16">
        <f t="shared" si="27"/>
        <v>0.0955</v>
      </c>
      <c r="L36" s="12">
        <f>ROUND(L$11/8,4)</f>
        <v>-0.0158</v>
      </c>
      <c r="M36" s="12">
        <f>ROUND(M$11/8,4)</f>
        <v>0.033</v>
      </c>
      <c r="O36" s="17">
        <f t="shared" si="21"/>
        <v>0.1127</v>
      </c>
      <c r="P36" s="17">
        <f t="shared" si="22"/>
        <v>-0.0169</v>
      </c>
      <c r="Q36" s="252">
        <f>ROUND(0.125*Q$5,4)</f>
        <v>0</v>
      </c>
      <c r="R36" s="17">
        <f t="shared" si="23"/>
        <v>0.0025</v>
      </c>
      <c r="S36" s="146">
        <f t="shared" si="24"/>
        <v>0.12</v>
      </c>
      <c r="V36" s="250">
        <f t="shared" si="28"/>
        <v>0.1177</v>
      </c>
      <c r="W36" s="249">
        <f t="shared" si="29"/>
        <v>0.12</v>
      </c>
      <c r="X36" s="30">
        <f t="shared" si="30"/>
        <v>-0.0022999999999999965</v>
      </c>
      <c r="Y36">
        <f t="shared" si="10"/>
        <v>-0.0022999999999999965</v>
      </c>
    </row>
    <row r="37" spans="1:25" ht="14.25" thickBot="1" thickTop="1">
      <c r="A37" s="261"/>
      <c r="B37" s="270"/>
      <c r="C37" s="7" t="s">
        <v>82</v>
      </c>
      <c r="D37" s="24">
        <f>'CNTNR COST'!G35</f>
        <v>0.41</v>
      </c>
      <c r="E37" s="25">
        <v>0</v>
      </c>
      <c r="F37" s="25">
        <f>+$F$17</f>
        <v>0.1195</v>
      </c>
      <c r="G37" s="27">
        <f>ROUND($G$11,6)</f>
        <v>0</v>
      </c>
      <c r="H37" s="27">
        <f>ROUND($H$11,6)</f>
        <v>-0.0002</v>
      </c>
      <c r="I37" s="25">
        <f t="shared" si="25"/>
        <v>0.5293</v>
      </c>
      <c r="J37" s="25">
        <f t="shared" si="26"/>
        <v>0.019197409326424886</v>
      </c>
      <c r="K37" s="29">
        <f t="shared" si="27"/>
        <v>0.5485</v>
      </c>
      <c r="L37" s="25">
        <f>L$11</f>
        <v>-0.1267</v>
      </c>
      <c r="M37" s="25">
        <f>M$11</f>
        <v>0.2638</v>
      </c>
      <c r="O37" s="27">
        <f t="shared" si="21"/>
        <v>0.6856</v>
      </c>
      <c r="P37" s="27">
        <f t="shared" si="22"/>
        <v>-0.1028</v>
      </c>
      <c r="Q37" s="27">
        <f>Q$5</f>
        <v>0</v>
      </c>
      <c r="R37" s="27">
        <f t="shared" si="23"/>
        <v>0.0149</v>
      </c>
      <c r="S37" s="147">
        <f t="shared" si="24"/>
        <v>0.69</v>
      </c>
      <c r="V37" s="250">
        <f t="shared" si="28"/>
        <v>0.6906</v>
      </c>
      <c r="W37" s="249">
        <f t="shared" si="29"/>
        <v>0.69</v>
      </c>
      <c r="X37" s="30">
        <f t="shared" si="30"/>
        <v>0.0006000000000000449</v>
      </c>
      <c r="Y37">
        <f t="shared" si="10"/>
        <v>0.0006000000000000449</v>
      </c>
    </row>
    <row r="38" spans="3:19" ht="14.25" thickBot="1" thickTop="1">
      <c r="C38" s="171"/>
      <c r="K38" s="30"/>
      <c r="O38" s="18"/>
      <c r="P38" s="18"/>
      <c r="Q38" s="18"/>
      <c r="R38" s="18"/>
      <c r="S38" s="148"/>
    </row>
    <row r="39" spans="1:25" ht="14.25" thickBot="1" thickTop="1">
      <c r="A39" s="259" t="s">
        <v>140</v>
      </c>
      <c r="B39" s="268" t="s">
        <v>137</v>
      </c>
      <c r="C39" s="7" t="s">
        <v>13</v>
      </c>
      <c r="D39" s="23">
        <f>'CNTNR COST'!G37</f>
        <v>1.4283</v>
      </c>
      <c r="E39" s="11">
        <v>0</v>
      </c>
      <c r="F39" s="11">
        <f>+$F$9</f>
        <v>-0.0639</v>
      </c>
      <c r="G39" s="26">
        <f>ROUND($G$11*4,6)</f>
        <v>0</v>
      </c>
      <c r="H39" s="26">
        <f>ROUND($H$11*4,6)</f>
        <v>-0.0008</v>
      </c>
      <c r="I39" s="11">
        <f>ROUND(SUM(D39:H39),4)</f>
        <v>1.3636</v>
      </c>
      <c r="J39" s="11">
        <f>(I39/(1-$J$5))-I39</f>
        <v>0.049456994818652955</v>
      </c>
      <c r="K39" s="28">
        <f>ROUND(I39+J39,4)</f>
        <v>1.4131</v>
      </c>
      <c r="L39" s="11">
        <f>ROUND(L$11*4,4)</f>
        <v>-0.5068</v>
      </c>
      <c r="M39" s="11">
        <f>ROUND(M$11*4,4)</f>
        <v>1.0552</v>
      </c>
      <c r="O39" s="26">
        <f aca="true" t="shared" si="31" ref="O39:O47">ROUND(SUM(K39:N39),6)</f>
        <v>1.9615</v>
      </c>
      <c r="P39" s="26">
        <f aca="true" t="shared" si="32" ref="P39:P47">ROUND(O39*(-P$7),4)</f>
        <v>-0.2942</v>
      </c>
      <c r="Q39" s="26">
        <f>4*Q$5</f>
        <v>0</v>
      </c>
      <c r="R39" s="26">
        <f aca="true" t="shared" si="33" ref="R39:R47">ROUND(((Q39+P39+O39)/(1-R$5))-(Q39+P39+O39),6)</f>
        <v>0.042751</v>
      </c>
      <c r="S39" s="145">
        <f aca="true" t="shared" si="34" ref="S39:S47">IF(ROUND(SUM(O39:R39),2)&gt;O39,ROUND(SUM(O39:R39),2),ROUND(O39+0.005,2))</f>
        <v>1.97</v>
      </c>
      <c r="V39" s="250">
        <f>IF(ROUND(SUM(O39:R39),4)&gt;O39,ROUND(SUM(O39:R39),4),ROUND(O39+0.005,4))</f>
        <v>1.9665</v>
      </c>
      <c r="W39" s="249">
        <f>IF(ROUND(SUM(O39:R39),2)&gt;O39,ROUND(SUM(O39:R39),2),ROUND(O39+0.005,2))</f>
        <v>1.97</v>
      </c>
      <c r="X39" s="30">
        <f>V39-W39</f>
        <v>-0.0035000000000000586</v>
      </c>
      <c r="Y39">
        <f t="shared" si="10"/>
        <v>-0.0035000000000000586</v>
      </c>
    </row>
    <row r="40" spans="1:25" ht="14.25" thickBot="1" thickTop="1">
      <c r="A40" s="260"/>
      <c r="B40" s="269"/>
      <c r="C40" s="7" t="s">
        <v>58</v>
      </c>
      <c r="D40" s="13">
        <f>'CNTNR COST'!G38</f>
        <v>0.7142</v>
      </c>
      <c r="E40" s="12">
        <v>0</v>
      </c>
      <c r="F40" s="12">
        <f>+$F$10</f>
        <v>-0.0419</v>
      </c>
      <c r="G40" s="17">
        <f>ROUND($G$11*2,6)</f>
        <v>0</v>
      </c>
      <c r="H40" s="17">
        <f>ROUND($H$11*2,6)</f>
        <v>-0.0004</v>
      </c>
      <c r="I40" s="12">
        <f aca="true" t="shared" si="35" ref="I40:I47">ROUND(SUM(D40:H40),4)</f>
        <v>0.6719</v>
      </c>
      <c r="J40" s="12">
        <f aca="true" t="shared" si="36" ref="J40:J47">(I40/(1-$J$5))-I40</f>
        <v>0.024369430051813468</v>
      </c>
      <c r="K40" s="16">
        <f aca="true" t="shared" si="37" ref="K40:K47">ROUND(I40+J40,4)</f>
        <v>0.6963</v>
      </c>
      <c r="L40" s="12">
        <f>ROUND(L$11*2,4)</f>
        <v>-0.2534</v>
      </c>
      <c r="M40" s="12">
        <f>ROUND(M$11*2,4)</f>
        <v>0.5276</v>
      </c>
      <c r="O40" s="17">
        <f t="shared" si="31"/>
        <v>0.9705</v>
      </c>
      <c r="P40" s="17">
        <f t="shared" si="32"/>
        <v>-0.1456</v>
      </c>
      <c r="Q40" s="252">
        <f>2*Q$5</f>
        <v>0</v>
      </c>
      <c r="R40" s="17">
        <f t="shared" si="33"/>
        <v>0.021151</v>
      </c>
      <c r="S40" s="146">
        <f t="shared" si="34"/>
        <v>0.98</v>
      </c>
      <c r="V40" s="250">
        <f aca="true" t="shared" si="38" ref="V40:V47">IF(ROUND(SUM(O40:R40),4)&gt;O40,ROUND(SUM(O40:R40),4),ROUND(O40+0.005,4))</f>
        <v>0.9755</v>
      </c>
      <c r="W40" s="249">
        <f aca="true" t="shared" si="39" ref="W40:W47">IF(ROUND(SUM(O40:R40),2)&gt;O40,ROUND(SUM(O40:R40),2),ROUND(O40+0.005,2))</f>
        <v>0.98</v>
      </c>
      <c r="X40" s="30">
        <f aca="true" t="shared" si="40" ref="X40:X47">V40-W40</f>
        <v>-0.0044999999999999485</v>
      </c>
      <c r="Y40">
        <f t="shared" si="10"/>
        <v>-0.0044999999999999485</v>
      </c>
    </row>
    <row r="41" spans="1:25" ht="14.25" thickBot="1" thickTop="1">
      <c r="A41" s="260"/>
      <c r="B41" s="269"/>
      <c r="C41" s="7" t="s">
        <v>15</v>
      </c>
      <c r="D41" s="13">
        <f>'CNTNR COST'!G39</f>
        <v>0.3571</v>
      </c>
      <c r="E41" s="12">
        <v>0</v>
      </c>
      <c r="F41" s="12">
        <f>+$F$11</f>
        <v>0.028</v>
      </c>
      <c r="G41" s="12">
        <f>Energy_Addon</f>
        <v>0</v>
      </c>
      <c r="H41" s="17">
        <f>ROUND(COST_UPDATE_ADJ,4)</f>
        <v>-0.0002</v>
      </c>
      <c r="I41" s="12">
        <f t="shared" si="35"/>
        <v>0.3849</v>
      </c>
      <c r="J41" s="12">
        <f t="shared" si="36"/>
        <v>0.013960103626942999</v>
      </c>
      <c r="K41" s="16">
        <f t="shared" si="37"/>
        <v>0.3989</v>
      </c>
      <c r="L41" s="12">
        <f>$L$11</f>
        <v>-0.1267</v>
      </c>
      <c r="M41" s="12">
        <f>$M$11</f>
        <v>0.2638</v>
      </c>
      <c r="O41" s="17">
        <f t="shared" si="31"/>
        <v>0.536</v>
      </c>
      <c r="P41" s="17">
        <f t="shared" si="32"/>
        <v>-0.0804</v>
      </c>
      <c r="Q41" s="252">
        <f>Q$5</f>
        <v>0</v>
      </c>
      <c r="R41" s="17">
        <f t="shared" si="33"/>
        <v>0.011682</v>
      </c>
      <c r="S41" s="146">
        <f t="shared" si="34"/>
        <v>0.54</v>
      </c>
      <c r="V41" s="250">
        <f t="shared" si="38"/>
        <v>0.541</v>
      </c>
      <c r="W41" s="249">
        <f t="shared" si="39"/>
        <v>0.54</v>
      </c>
      <c r="X41" s="30">
        <f t="shared" si="40"/>
        <v>0.0010000000000000009</v>
      </c>
      <c r="Y41">
        <f t="shared" si="10"/>
        <v>0.0010000000000000009</v>
      </c>
    </row>
    <row r="42" spans="1:25" ht="14.25" thickBot="1" thickTop="1">
      <c r="A42" s="260"/>
      <c r="B42" s="269"/>
      <c r="C42" s="7" t="s">
        <v>16</v>
      </c>
      <c r="D42" s="13">
        <f>'CNTNR COST'!G40</f>
        <v>0.1785</v>
      </c>
      <c r="E42" s="12">
        <v>0</v>
      </c>
      <c r="F42" s="12">
        <f>+$F$12</f>
        <v>0.0549</v>
      </c>
      <c r="G42" s="17">
        <f>ROUND($G$11/2,4)</f>
        <v>0</v>
      </c>
      <c r="H42" s="17">
        <f>ROUND($H$11/2,4)</f>
        <v>-0.0001</v>
      </c>
      <c r="I42" s="12">
        <f t="shared" si="35"/>
        <v>0.2333</v>
      </c>
      <c r="J42" s="12">
        <f t="shared" si="36"/>
        <v>0.008461658031088087</v>
      </c>
      <c r="K42" s="16">
        <f t="shared" si="37"/>
        <v>0.2418</v>
      </c>
      <c r="L42" s="12">
        <f>ROUND(L$11/2,4)</f>
        <v>-0.0634</v>
      </c>
      <c r="M42" s="12">
        <f>ROUND(M$11/2,4)</f>
        <v>0.1319</v>
      </c>
      <c r="O42" s="17">
        <f t="shared" si="31"/>
        <v>0.3103</v>
      </c>
      <c r="P42" s="17">
        <f t="shared" si="32"/>
        <v>-0.0465</v>
      </c>
      <c r="Q42" s="252">
        <f>ROUND(0.5*Q$5,4)</f>
        <v>0</v>
      </c>
      <c r="R42" s="17">
        <f t="shared" si="33"/>
        <v>0.006764</v>
      </c>
      <c r="S42" s="146">
        <f t="shared" si="34"/>
        <v>0.32</v>
      </c>
      <c r="V42" s="250">
        <f t="shared" si="38"/>
        <v>0.3153</v>
      </c>
      <c r="W42" s="249">
        <f t="shared" si="39"/>
        <v>0.32</v>
      </c>
      <c r="X42" s="30">
        <f t="shared" si="40"/>
        <v>-0.004699999999999982</v>
      </c>
      <c r="Y42">
        <f t="shared" si="10"/>
        <v>-0.004699999999999982</v>
      </c>
    </row>
    <row r="43" spans="1:25" ht="14.25" thickBot="1" thickTop="1">
      <c r="A43" s="260"/>
      <c r="B43" s="269"/>
      <c r="C43" s="7" t="s">
        <v>153</v>
      </c>
      <c r="D43" s="13">
        <f>'CNTNR COST'!G41</f>
        <v>0.17</v>
      </c>
      <c r="E43" s="12"/>
      <c r="F43" s="12">
        <f>+$F$13</f>
        <v>0</v>
      </c>
      <c r="G43" s="17">
        <f>ROUND($G$11/32*12,4)</f>
        <v>0</v>
      </c>
      <c r="H43" s="17">
        <f>ROUND($H$11/32*12,4)</f>
        <v>-0.0001</v>
      </c>
      <c r="I43" s="12">
        <f t="shared" si="35"/>
        <v>0.1699</v>
      </c>
      <c r="J43" s="12">
        <f t="shared" si="36"/>
        <v>0.006162176165803113</v>
      </c>
      <c r="K43" s="16">
        <f t="shared" si="37"/>
        <v>0.1761</v>
      </c>
      <c r="L43" s="12">
        <f>ROUND(L$11/32*12,4)</f>
        <v>-0.0475</v>
      </c>
      <c r="M43" s="12">
        <f>ROUND(M$11/32*12,4)</f>
        <v>0.0989</v>
      </c>
      <c r="O43" s="17">
        <f t="shared" si="31"/>
        <v>0.2275</v>
      </c>
      <c r="P43" s="17">
        <f t="shared" si="32"/>
        <v>-0.0341</v>
      </c>
      <c r="Q43" s="252">
        <f>ROUND(12/32*Q$5,4)</f>
        <v>0</v>
      </c>
      <c r="R43" s="17">
        <f t="shared" si="33"/>
        <v>0.004959</v>
      </c>
      <c r="S43" s="146">
        <f t="shared" si="34"/>
        <v>0.23</v>
      </c>
      <c r="V43" s="250">
        <f t="shared" si="38"/>
        <v>0.2325</v>
      </c>
      <c r="W43" s="249">
        <f t="shared" si="39"/>
        <v>0.23</v>
      </c>
      <c r="X43" s="30">
        <f t="shared" si="40"/>
        <v>0.0025000000000000022</v>
      </c>
      <c r="Y43">
        <f t="shared" si="10"/>
        <v>0.0025000000000000022</v>
      </c>
    </row>
    <row r="44" spans="1:25" ht="14.25" thickBot="1" thickTop="1">
      <c r="A44" s="260"/>
      <c r="B44" s="269"/>
      <c r="C44" s="7" t="s">
        <v>59</v>
      </c>
      <c r="D44" s="13">
        <f>'CNTNR COST'!G42</f>
        <v>0.1417</v>
      </c>
      <c r="E44" s="12">
        <v>0</v>
      </c>
      <c r="F44" s="12">
        <f>+$F$14</f>
        <v>0</v>
      </c>
      <c r="G44" s="17">
        <f>ROUND($G$11/32*10,4)</f>
        <v>0</v>
      </c>
      <c r="H44" s="17">
        <f>ROUND($H$11/32*10,4)</f>
        <v>-0.0001</v>
      </c>
      <c r="I44" s="12">
        <f t="shared" si="35"/>
        <v>0.1416</v>
      </c>
      <c r="J44" s="12">
        <f t="shared" si="36"/>
        <v>0.0051357512953368045</v>
      </c>
      <c r="K44" s="16">
        <f t="shared" si="37"/>
        <v>0.1467</v>
      </c>
      <c r="L44" s="12">
        <f>ROUND(L$11/32*10,4)</f>
        <v>-0.0396</v>
      </c>
      <c r="M44" s="12">
        <f>ROUND(M$11/32*10,4)</f>
        <v>0.0824</v>
      </c>
      <c r="O44" s="17">
        <f t="shared" si="31"/>
        <v>0.1895</v>
      </c>
      <c r="P44" s="17">
        <f t="shared" si="32"/>
        <v>-0.0284</v>
      </c>
      <c r="Q44" s="252">
        <f>ROUND(10/32*Q$5,4)</f>
        <v>0</v>
      </c>
      <c r="R44" s="17">
        <f t="shared" si="33"/>
        <v>0.004131</v>
      </c>
      <c r="S44" s="146">
        <f t="shared" si="34"/>
        <v>0.19</v>
      </c>
      <c r="V44" s="250">
        <f t="shared" si="38"/>
        <v>0.1945</v>
      </c>
      <c r="W44" s="249">
        <f t="shared" si="39"/>
        <v>0.19</v>
      </c>
      <c r="X44" s="30">
        <f t="shared" si="40"/>
        <v>0.004500000000000004</v>
      </c>
      <c r="Y44">
        <f t="shared" si="10"/>
        <v>0.004500000000000004</v>
      </c>
    </row>
    <row r="45" spans="1:25" ht="14.25" thickBot="1" thickTop="1">
      <c r="A45" s="260"/>
      <c r="B45" s="269"/>
      <c r="C45" s="7" t="s">
        <v>60</v>
      </c>
      <c r="D45" s="13">
        <f>'CNTNR COST'!G43</f>
        <v>0.0893</v>
      </c>
      <c r="E45" s="12">
        <v>0</v>
      </c>
      <c r="F45" s="12">
        <f>+$F$15</f>
        <v>0.0199</v>
      </c>
      <c r="G45" s="17">
        <f>ROUND($G$11/4,4)</f>
        <v>0</v>
      </c>
      <c r="H45" s="17">
        <f>ROUND($H$11/4,4)</f>
        <v>-0.0001</v>
      </c>
      <c r="I45" s="12">
        <f t="shared" si="35"/>
        <v>0.1091</v>
      </c>
      <c r="J45" s="12">
        <f t="shared" si="36"/>
        <v>0.003956994818652859</v>
      </c>
      <c r="K45" s="16">
        <f t="shared" si="37"/>
        <v>0.1131</v>
      </c>
      <c r="L45" s="12">
        <f>ROUND(L$11/4,4)</f>
        <v>-0.0317</v>
      </c>
      <c r="M45" s="12">
        <f>ROUND(M$11/4,4)</f>
        <v>0.066</v>
      </c>
      <c r="O45" s="17">
        <f t="shared" si="31"/>
        <v>0.1474</v>
      </c>
      <c r="P45" s="17">
        <f t="shared" si="32"/>
        <v>-0.0221</v>
      </c>
      <c r="Q45" s="252">
        <f>ROUND(0.25*Q$5,4)</f>
        <v>0</v>
      </c>
      <c r="R45" s="17">
        <f t="shared" si="33"/>
        <v>0.003213</v>
      </c>
      <c r="S45" s="146">
        <f t="shared" si="34"/>
        <v>0.15</v>
      </c>
      <c r="V45" s="250">
        <f t="shared" si="38"/>
        <v>0.1524</v>
      </c>
      <c r="W45" s="249">
        <f t="shared" si="39"/>
        <v>0.15</v>
      </c>
      <c r="X45" s="30">
        <f t="shared" si="40"/>
        <v>0.0024000000000000132</v>
      </c>
      <c r="Y45">
        <f t="shared" si="10"/>
        <v>0.0024000000000000132</v>
      </c>
    </row>
    <row r="46" spans="1:25" ht="14.25" thickBot="1" thickTop="1">
      <c r="A46" s="260"/>
      <c r="B46" s="269"/>
      <c r="C46" s="7" t="s">
        <v>61</v>
      </c>
      <c r="D46" s="13">
        <f>'CNTNR COST'!G44</f>
        <v>0.0652</v>
      </c>
      <c r="E46" s="12">
        <v>0</v>
      </c>
      <c r="F46" s="12">
        <f>+$F$16</f>
        <v>0.0271</v>
      </c>
      <c r="G46" s="17">
        <f>ROUND($G$11/8,4)</f>
        <v>0</v>
      </c>
      <c r="H46" s="17">
        <f>ROUND($H$11/8,4)</f>
        <v>0</v>
      </c>
      <c r="I46" s="12">
        <f t="shared" si="35"/>
        <v>0.0923</v>
      </c>
      <c r="J46" s="12">
        <f t="shared" si="36"/>
        <v>0.00334766839378238</v>
      </c>
      <c r="K46" s="16">
        <f t="shared" si="37"/>
        <v>0.0956</v>
      </c>
      <c r="L46" s="12">
        <f>ROUND(L$11/8,4)</f>
        <v>-0.0158</v>
      </c>
      <c r="M46" s="12">
        <f>ROUND(M$11/8,4)</f>
        <v>0.033</v>
      </c>
      <c r="O46" s="17">
        <f t="shared" si="31"/>
        <v>0.1128</v>
      </c>
      <c r="P46" s="17">
        <f t="shared" si="32"/>
        <v>-0.0169</v>
      </c>
      <c r="Q46" s="252">
        <f>ROUND(0.125*Q$5,4)</f>
        <v>0</v>
      </c>
      <c r="R46" s="17">
        <f t="shared" si="33"/>
        <v>0.002459</v>
      </c>
      <c r="S46" s="146">
        <f t="shared" si="34"/>
        <v>0.12</v>
      </c>
      <c r="V46" s="250">
        <f t="shared" si="38"/>
        <v>0.1178</v>
      </c>
      <c r="W46" s="249">
        <f t="shared" si="39"/>
        <v>0.12</v>
      </c>
      <c r="X46" s="30">
        <f t="shared" si="40"/>
        <v>-0.0021999999999999936</v>
      </c>
      <c r="Y46">
        <f t="shared" si="10"/>
        <v>-0.0021999999999999936</v>
      </c>
    </row>
    <row r="47" spans="1:25" ht="14.25" thickBot="1" thickTop="1">
      <c r="A47" s="261"/>
      <c r="B47" s="270"/>
      <c r="C47" s="7" t="s">
        <v>82</v>
      </c>
      <c r="D47" s="24">
        <f>'CNTNR COST'!G45</f>
        <v>0.4109</v>
      </c>
      <c r="E47" s="25">
        <v>0</v>
      </c>
      <c r="F47" s="25">
        <f>+$F$17</f>
        <v>0.1195</v>
      </c>
      <c r="G47" s="27">
        <f>ROUND($G$11,6)</f>
        <v>0</v>
      </c>
      <c r="H47" s="27">
        <f>ROUND($H$11,6)</f>
        <v>-0.0002</v>
      </c>
      <c r="I47" s="25">
        <f t="shared" si="35"/>
        <v>0.5302</v>
      </c>
      <c r="J47" s="25">
        <f t="shared" si="36"/>
        <v>0.019230051813471483</v>
      </c>
      <c r="K47" s="29">
        <f t="shared" si="37"/>
        <v>0.5494</v>
      </c>
      <c r="L47" s="25">
        <f>L$11</f>
        <v>-0.1267</v>
      </c>
      <c r="M47" s="25">
        <f>M$11</f>
        <v>0.2638</v>
      </c>
      <c r="O47" s="27">
        <f t="shared" si="31"/>
        <v>0.6865</v>
      </c>
      <c r="P47" s="27">
        <f t="shared" si="32"/>
        <v>-0.103</v>
      </c>
      <c r="Q47" s="27">
        <f>Q$5</f>
        <v>0</v>
      </c>
      <c r="R47" s="27">
        <f t="shared" si="33"/>
        <v>0.014962</v>
      </c>
      <c r="S47" s="147">
        <f t="shared" si="34"/>
        <v>0.69</v>
      </c>
      <c r="V47" s="250">
        <f t="shared" si="38"/>
        <v>0.6915</v>
      </c>
      <c r="W47" s="249">
        <f t="shared" si="39"/>
        <v>0.69</v>
      </c>
      <c r="X47" s="30">
        <f t="shared" si="40"/>
        <v>0.0015000000000000568</v>
      </c>
      <c r="Y47">
        <f t="shared" si="10"/>
        <v>0.0015000000000000568</v>
      </c>
    </row>
    <row r="48" spans="3:19" ht="14.25" thickBot="1" thickTop="1">
      <c r="C48" s="171"/>
      <c r="K48" s="30"/>
      <c r="O48" s="18"/>
      <c r="P48" s="18"/>
      <c r="Q48" s="18"/>
      <c r="R48" s="18"/>
      <c r="S48" s="148"/>
    </row>
    <row r="49" spans="1:25" ht="14.25" thickBot="1" thickTop="1">
      <c r="A49" s="259" t="s">
        <v>136</v>
      </c>
      <c r="B49" s="268" t="s">
        <v>24</v>
      </c>
      <c r="C49" s="7" t="s">
        <v>13</v>
      </c>
      <c r="D49" s="23">
        <f>'CNTNR COST'!G47</f>
        <v>1.4208</v>
      </c>
      <c r="E49" s="11">
        <v>0</v>
      </c>
      <c r="F49" s="11">
        <f>+$F$9</f>
        <v>-0.0639</v>
      </c>
      <c r="G49" s="26">
        <f>ROUND($G$11*4,6)</f>
        <v>0</v>
      </c>
      <c r="H49" s="26">
        <f>ROUND($H$11*4,6)</f>
        <v>-0.0008</v>
      </c>
      <c r="I49" s="11">
        <f>ROUND(SUM(D49:H49),4)</f>
        <v>1.3561</v>
      </c>
      <c r="J49" s="11">
        <f>(I49/(1-$J$5))-I49</f>
        <v>0.04918497409326439</v>
      </c>
      <c r="K49" s="28">
        <f>ROUND(I49+J49,4)</f>
        <v>1.4053</v>
      </c>
      <c r="L49" s="11">
        <f>ROUND(L$11*4,4)</f>
        <v>-0.5068</v>
      </c>
      <c r="M49" s="11">
        <f>ROUND(M$11*4,4)</f>
        <v>1.0552</v>
      </c>
      <c r="O49" s="26">
        <f aca="true" t="shared" si="41" ref="O49:O57">ROUND(SUM(K49:N49),6)</f>
        <v>1.9537</v>
      </c>
      <c r="P49" s="26">
        <f aca="true" t="shared" si="42" ref="P49:P57">ROUND(O49*(-P$7),4)</f>
        <v>-0.2931</v>
      </c>
      <c r="Q49" s="26">
        <f>4*Q$5</f>
        <v>0</v>
      </c>
      <c r="R49" s="26">
        <f aca="true" t="shared" si="43" ref="R49:R57">ROUND(((Q49+P49+O49)/(1-R$5))-(Q49+P49+O49),6)</f>
        <v>0.042579</v>
      </c>
      <c r="S49" s="145">
        <f aca="true" t="shared" si="44" ref="S49:S57">IF(ROUND(SUM(O49:R49),2)&gt;O49,ROUND(SUM(O49:R49),2),ROUND(O49+0.005,2))</f>
        <v>1.96</v>
      </c>
      <c r="V49" s="250">
        <f>IF(ROUND(SUM(O49:R49),4)&gt;O49,ROUND(SUM(O49:R49),4),ROUND(O49+0.005,4))</f>
        <v>1.9587</v>
      </c>
      <c r="W49" s="249">
        <f>IF(ROUND(SUM(O49:R49),2)&gt;O49,ROUND(SUM(O49:R49),2),ROUND(O49+0.005,2))</f>
        <v>1.96</v>
      </c>
      <c r="X49" s="30">
        <f>V49-W49</f>
        <v>-0.0012999999999998568</v>
      </c>
      <c r="Y49">
        <f t="shared" si="10"/>
        <v>-0.0012999999999998568</v>
      </c>
    </row>
    <row r="50" spans="1:25" ht="14.25" thickBot="1" thickTop="1">
      <c r="A50" s="260"/>
      <c r="B50" s="269"/>
      <c r="C50" s="7" t="s">
        <v>58</v>
      </c>
      <c r="D50" s="13">
        <f>'CNTNR COST'!G48</f>
        <v>0.7104</v>
      </c>
      <c r="E50" s="12">
        <v>0</v>
      </c>
      <c r="F50" s="12">
        <f>+$F$10</f>
        <v>-0.0419</v>
      </c>
      <c r="G50" s="17">
        <f>ROUND($G$11*2,6)</f>
        <v>0</v>
      </c>
      <c r="H50" s="17">
        <f>ROUND($H$11*2,6)</f>
        <v>-0.0004</v>
      </c>
      <c r="I50" s="12">
        <f aca="true" t="shared" si="45" ref="I50:I57">ROUND(SUM(D50:H50),4)</f>
        <v>0.6681</v>
      </c>
      <c r="J50" s="12">
        <f aca="true" t="shared" si="46" ref="J50:J57">(I50/(1-$J$5))-I50</f>
        <v>0.024231606217616553</v>
      </c>
      <c r="K50" s="16">
        <f aca="true" t="shared" si="47" ref="K50:K57">ROUND(I50+J50,4)</f>
        <v>0.6923</v>
      </c>
      <c r="L50" s="12">
        <f>ROUND(L$11*2,4)</f>
        <v>-0.2534</v>
      </c>
      <c r="M50" s="12">
        <f>ROUND(M$11*2,4)</f>
        <v>0.5276</v>
      </c>
      <c r="O50" s="17">
        <f t="shared" si="41"/>
        <v>0.9665</v>
      </c>
      <c r="P50" s="17">
        <f t="shared" si="42"/>
        <v>-0.145</v>
      </c>
      <c r="Q50" s="252">
        <f>2*Q$5</f>
        <v>0</v>
      </c>
      <c r="R50" s="17">
        <f t="shared" si="43"/>
        <v>0.021064</v>
      </c>
      <c r="S50" s="146">
        <f t="shared" si="44"/>
        <v>0.97</v>
      </c>
      <c r="V50" s="250">
        <f aca="true" t="shared" si="48" ref="V50:V57">IF(ROUND(SUM(O50:R50),4)&gt;O50,ROUND(SUM(O50:R50),4),ROUND(O50+0.005,4))</f>
        <v>0.9715</v>
      </c>
      <c r="W50" s="249">
        <f aca="true" t="shared" si="49" ref="W50:W57">IF(ROUND(SUM(O50:R50),2)&gt;O50,ROUND(SUM(O50:R50),2),ROUND(O50+0.005,2))</f>
        <v>0.97</v>
      </c>
      <c r="X50" s="30">
        <f aca="true" t="shared" si="50" ref="X50:X57">V50-W50</f>
        <v>0.0015000000000000568</v>
      </c>
      <c r="Y50">
        <f t="shared" si="10"/>
        <v>0.0015000000000000568</v>
      </c>
    </row>
    <row r="51" spans="1:25" ht="14.25" thickBot="1" thickTop="1">
      <c r="A51" s="260"/>
      <c r="B51" s="269"/>
      <c r="C51" s="7" t="s">
        <v>15</v>
      </c>
      <c r="D51" s="13">
        <f>'CNTNR COST'!G49</f>
        <v>0.3552</v>
      </c>
      <c r="E51" s="12">
        <v>0</v>
      </c>
      <c r="F51" s="12">
        <f>+$F$11</f>
        <v>0.028</v>
      </c>
      <c r="G51" s="12">
        <f>Energy_Addon</f>
        <v>0</v>
      </c>
      <c r="H51" s="17">
        <f>ROUND(COST_UPDATE_ADJ,4)</f>
        <v>-0.0002</v>
      </c>
      <c r="I51" s="12">
        <f t="shared" si="45"/>
        <v>0.383</v>
      </c>
      <c r="J51" s="12">
        <f t="shared" si="46"/>
        <v>0.013891191709844597</v>
      </c>
      <c r="K51" s="16">
        <f t="shared" si="47"/>
        <v>0.3969</v>
      </c>
      <c r="L51" s="12">
        <f>$L$11</f>
        <v>-0.1267</v>
      </c>
      <c r="M51" s="12">
        <f>$M$11</f>
        <v>0.2638</v>
      </c>
      <c r="O51" s="17">
        <f t="shared" si="41"/>
        <v>0.534</v>
      </c>
      <c r="P51" s="17">
        <f t="shared" si="42"/>
        <v>-0.0801</v>
      </c>
      <c r="Q51" s="252">
        <f>Q$5</f>
        <v>0</v>
      </c>
      <c r="R51" s="17">
        <f t="shared" si="43"/>
        <v>0.011638</v>
      </c>
      <c r="S51" s="146">
        <f t="shared" si="44"/>
        <v>0.54</v>
      </c>
      <c r="V51" s="250">
        <f t="shared" si="48"/>
        <v>0.539</v>
      </c>
      <c r="W51" s="249">
        <f t="shared" si="49"/>
        <v>0.54</v>
      </c>
      <c r="X51" s="30">
        <f t="shared" si="50"/>
        <v>-0.0010000000000000009</v>
      </c>
      <c r="Y51">
        <f t="shared" si="10"/>
        <v>-0.0010000000000000009</v>
      </c>
    </row>
    <row r="52" spans="1:25" ht="14.25" thickBot="1" thickTop="1">
      <c r="A52" s="260"/>
      <c r="B52" s="269"/>
      <c r="C52" s="7" t="s">
        <v>16</v>
      </c>
      <c r="D52" s="13">
        <f>'CNTNR COST'!G50</f>
        <v>0.1776</v>
      </c>
      <c r="E52" s="12">
        <v>0</v>
      </c>
      <c r="F52" s="12">
        <f>+$F$12</f>
        <v>0.0549</v>
      </c>
      <c r="G52" s="17">
        <f>ROUND($G$11/2,4)</f>
        <v>0</v>
      </c>
      <c r="H52" s="17">
        <f>ROUND($H$11/2,4)</f>
        <v>-0.0001</v>
      </c>
      <c r="I52" s="12">
        <f t="shared" si="45"/>
        <v>0.2324</v>
      </c>
      <c r="J52" s="12">
        <f t="shared" si="46"/>
        <v>0.008429015544041463</v>
      </c>
      <c r="K52" s="16">
        <f t="shared" si="47"/>
        <v>0.2408</v>
      </c>
      <c r="L52" s="12">
        <f>ROUND(L$11/2,4)</f>
        <v>-0.0634</v>
      </c>
      <c r="M52" s="12">
        <f>ROUND(M$11/2,4)</f>
        <v>0.1319</v>
      </c>
      <c r="O52" s="17">
        <f t="shared" si="41"/>
        <v>0.3093</v>
      </c>
      <c r="P52" s="17">
        <f t="shared" si="42"/>
        <v>-0.0464</v>
      </c>
      <c r="Q52" s="252">
        <f>ROUND(0.5*Q$5,4)</f>
        <v>0</v>
      </c>
      <c r="R52" s="17">
        <f t="shared" si="43"/>
        <v>0.006741</v>
      </c>
      <c r="S52" s="146">
        <f t="shared" si="44"/>
        <v>0.31</v>
      </c>
      <c r="V52" s="250">
        <f t="shared" si="48"/>
        <v>0.3143</v>
      </c>
      <c r="W52" s="249">
        <f t="shared" si="49"/>
        <v>0.31</v>
      </c>
      <c r="X52" s="30">
        <f t="shared" si="50"/>
        <v>0.004300000000000026</v>
      </c>
      <c r="Y52">
        <f t="shared" si="10"/>
        <v>0.004300000000000026</v>
      </c>
    </row>
    <row r="53" spans="1:25" ht="14.25" thickBot="1" thickTop="1">
      <c r="A53" s="260"/>
      <c r="B53" s="269"/>
      <c r="C53" s="7" t="s">
        <v>153</v>
      </c>
      <c r="D53" s="13">
        <f>'CNTNR COST'!G51</f>
        <v>0.1693</v>
      </c>
      <c r="E53" s="12"/>
      <c r="F53" s="12">
        <f>+$F$13</f>
        <v>0</v>
      </c>
      <c r="G53" s="17">
        <f>ROUND($G$11/32*12,4)</f>
        <v>0</v>
      </c>
      <c r="H53" s="17">
        <f>ROUND($H$11/32*12,4)</f>
        <v>-0.0001</v>
      </c>
      <c r="I53" s="12">
        <f t="shared" si="45"/>
        <v>0.1692</v>
      </c>
      <c r="J53" s="12">
        <f t="shared" si="46"/>
        <v>0.006136787564766849</v>
      </c>
      <c r="K53" s="16">
        <f t="shared" si="47"/>
        <v>0.1753</v>
      </c>
      <c r="L53" s="12">
        <f>ROUND(L$11/32*12,4)</f>
        <v>-0.0475</v>
      </c>
      <c r="M53" s="12">
        <f>ROUND(M$11/32*12,4)</f>
        <v>0.0989</v>
      </c>
      <c r="O53" s="17">
        <f t="shared" si="41"/>
        <v>0.2267</v>
      </c>
      <c r="P53" s="17">
        <f t="shared" si="42"/>
        <v>-0.034</v>
      </c>
      <c r="Q53" s="252">
        <f>ROUND(12/32*Q$5,4)</f>
        <v>0</v>
      </c>
      <c r="R53" s="17">
        <f t="shared" si="43"/>
        <v>0.004941</v>
      </c>
      <c r="S53" s="146">
        <f t="shared" si="44"/>
        <v>0.23</v>
      </c>
      <c r="V53" s="250">
        <f t="shared" si="48"/>
        <v>0.2317</v>
      </c>
      <c r="W53" s="249">
        <f t="shared" si="49"/>
        <v>0.23</v>
      </c>
      <c r="X53" s="30">
        <f t="shared" si="50"/>
        <v>0.0016999999999999793</v>
      </c>
      <c r="Y53">
        <f t="shared" si="10"/>
        <v>0.0016999999999999793</v>
      </c>
    </row>
    <row r="54" spans="1:25" ht="14.25" thickBot="1" thickTop="1">
      <c r="A54" s="260"/>
      <c r="B54" s="269"/>
      <c r="C54" s="7" t="s">
        <v>59</v>
      </c>
      <c r="D54" s="13">
        <f>'CNTNR COST'!G52</f>
        <v>0.1411</v>
      </c>
      <c r="E54" s="12">
        <v>0</v>
      </c>
      <c r="F54" s="12">
        <f>+$F$14</f>
        <v>0</v>
      </c>
      <c r="G54" s="17">
        <f>ROUND($G$11/32*10,4)</f>
        <v>0</v>
      </c>
      <c r="H54" s="17">
        <f>ROUND($H$11/32*10,4)</f>
        <v>-0.0001</v>
      </c>
      <c r="I54" s="12">
        <f t="shared" si="45"/>
        <v>0.141</v>
      </c>
      <c r="J54" s="12">
        <f t="shared" si="46"/>
        <v>0.005113989637305694</v>
      </c>
      <c r="K54" s="16">
        <f t="shared" si="47"/>
        <v>0.1461</v>
      </c>
      <c r="L54" s="12">
        <f>ROUND(L$11/32*10,4)</f>
        <v>-0.0396</v>
      </c>
      <c r="M54" s="12">
        <f>ROUND(M$11/32*10,4)</f>
        <v>0.0824</v>
      </c>
      <c r="O54" s="17">
        <f t="shared" si="41"/>
        <v>0.1889</v>
      </c>
      <c r="P54" s="17">
        <f t="shared" si="42"/>
        <v>-0.0283</v>
      </c>
      <c r="Q54" s="252">
        <f>ROUND(10/32*Q$5,4)</f>
        <v>0</v>
      </c>
      <c r="R54" s="17">
        <f t="shared" si="43"/>
        <v>0.004118</v>
      </c>
      <c r="S54" s="146">
        <f t="shared" si="44"/>
        <v>0.19</v>
      </c>
      <c r="V54" s="250">
        <f t="shared" si="48"/>
        <v>0.1939</v>
      </c>
      <c r="W54" s="249">
        <f t="shared" si="49"/>
        <v>0.19</v>
      </c>
      <c r="X54" s="30">
        <f t="shared" si="50"/>
        <v>0.003899999999999987</v>
      </c>
      <c r="Y54">
        <f t="shared" si="10"/>
        <v>0.003899999999999987</v>
      </c>
    </row>
    <row r="55" spans="1:25" ht="14.25" thickBot="1" thickTop="1">
      <c r="A55" s="260"/>
      <c r="B55" s="269"/>
      <c r="C55" s="7" t="s">
        <v>60</v>
      </c>
      <c r="D55" s="13">
        <f>'CNTNR COST'!G53</f>
        <v>0.0889</v>
      </c>
      <c r="E55" s="12">
        <v>0</v>
      </c>
      <c r="F55" s="12">
        <f>+$F$15</f>
        <v>0.0199</v>
      </c>
      <c r="G55" s="17">
        <f>ROUND($G$11/4,4)</f>
        <v>0</v>
      </c>
      <c r="H55" s="17">
        <f>ROUND($H$11/4,4)</f>
        <v>-0.0001</v>
      </c>
      <c r="I55" s="12">
        <f t="shared" si="45"/>
        <v>0.1087</v>
      </c>
      <c r="J55" s="12">
        <f t="shared" si="46"/>
        <v>0.003942487046632123</v>
      </c>
      <c r="K55" s="16">
        <f t="shared" si="47"/>
        <v>0.1126</v>
      </c>
      <c r="L55" s="12">
        <f>ROUND(L$11/4,4)</f>
        <v>-0.0317</v>
      </c>
      <c r="M55" s="12">
        <f>ROUND(M$11/4,4)</f>
        <v>0.066</v>
      </c>
      <c r="O55" s="17">
        <f t="shared" si="41"/>
        <v>0.1469</v>
      </c>
      <c r="P55" s="17">
        <f t="shared" si="42"/>
        <v>-0.022</v>
      </c>
      <c r="Q55" s="252">
        <f>ROUND(0.25*Q$5,4)</f>
        <v>0</v>
      </c>
      <c r="R55" s="17">
        <f t="shared" si="43"/>
        <v>0.003203</v>
      </c>
      <c r="S55" s="146">
        <f t="shared" si="44"/>
        <v>0.15</v>
      </c>
      <c r="V55" s="250">
        <f t="shared" si="48"/>
        <v>0.1519</v>
      </c>
      <c r="W55" s="249">
        <f t="shared" si="49"/>
        <v>0.15</v>
      </c>
      <c r="X55" s="30">
        <f t="shared" si="50"/>
        <v>0.0019000000000000128</v>
      </c>
      <c r="Y55">
        <f t="shared" si="10"/>
        <v>0.0019000000000000128</v>
      </c>
    </row>
    <row r="56" spans="1:25" ht="14.25" thickBot="1" thickTop="1">
      <c r="A56" s="260"/>
      <c r="B56" s="269"/>
      <c r="C56" s="7" t="s">
        <v>61</v>
      </c>
      <c r="D56" s="13">
        <f>'CNTNR COST'!G54</f>
        <v>0.0649</v>
      </c>
      <c r="E56" s="12">
        <v>0</v>
      </c>
      <c r="F56" s="12">
        <f>+$F$16</f>
        <v>0.0271</v>
      </c>
      <c r="G56" s="17">
        <f>ROUND($G$11/8,4)</f>
        <v>0</v>
      </c>
      <c r="H56" s="17">
        <f>ROUND($H$11/8,4)</f>
        <v>0</v>
      </c>
      <c r="I56" s="12">
        <f t="shared" si="45"/>
        <v>0.092</v>
      </c>
      <c r="J56" s="12">
        <f t="shared" si="46"/>
        <v>0.0033367875647668382</v>
      </c>
      <c r="K56" s="16">
        <f t="shared" si="47"/>
        <v>0.0953</v>
      </c>
      <c r="L56" s="12">
        <f>ROUND(L$11/8,4)</f>
        <v>-0.0158</v>
      </c>
      <c r="M56" s="12">
        <f>ROUND(M$11/8,4)</f>
        <v>0.033</v>
      </c>
      <c r="O56" s="17">
        <f t="shared" si="41"/>
        <v>0.1125</v>
      </c>
      <c r="P56" s="17">
        <f t="shared" si="42"/>
        <v>-0.0169</v>
      </c>
      <c r="Q56" s="252">
        <f>ROUND(0.125*Q$5,4)</f>
        <v>0</v>
      </c>
      <c r="R56" s="17">
        <f t="shared" si="43"/>
        <v>0.002451</v>
      </c>
      <c r="S56" s="146">
        <f t="shared" si="44"/>
        <v>0.12</v>
      </c>
      <c r="V56" s="250">
        <f t="shared" si="48"/>
        <v>0.1175</v>
      </c>
      <c r="W56" s="249">
        <f t="shared" si="49"/>
        <v>0.12</v>
      </c>
      <c r="X56" s="30">
        <f t="shared" si="50"/>
        <v>-0.0025000000000000022</v>
      </c>
      <c r="Y56">
        <f t="shared" si="10"/>
        <v>-0.0025000000000000022</v>
      </c>
    </row>
    <row r="57" spans="1:25" ht="14.25" thickBot="1" thickTop="1">
      <c r="A57" s="261"/>
      <c r="B57" s="270"/>
      <c r="C57" s="7" t="s">
        <v>82</v>
      </c>
      <c r="D57" s="24">
        <f>'CNTNR COST'!G55</f>
        <v>0.409</v>
      </c>
      <c r="E57" s="25">
        <v>0</v>
      </c>
      <c r="F57" s="25">
        <f>+$F$17</f>
        <v>0.1195</v>
      </c>
      <c r="G57" s="27">
        <f>ROUND($G$11,6)</f>
        <v>0</v>
      </c>
      <c r="H57" s="27">
        <f>ROUND($H$11,6)</f>
        <v>-0.0002</v>
      </c>
      <c r="I57" s="25">
        <f t="shared" si="45"/>
        <v>0.5283</v>
      </c>
      <c r="J57" s="25">
        <f t="shared" si="46"/>
        <v>0.019161139896373025</v>
      </c>
      <c r="K57" s="29">
        <f t="shared" si="47"/>
        <v>0.5475</v>
      </c>
      <c r="L57" s="25">
        <f>L$11</f>
        <v>-0.1267</v>
      </c>
      <c r="M57" s="25">
        <f>M$11</f>
        <v>0.2638</v>
      </c>
      <c r="O57" s="27">
        <f t="shared" si="41"/>
        <v>0.6846</v>
      </c>
      <c r="P57" s="27">
        <f t="shared" si="42"/>
        <v>-0.1027</v>
      </c>
      <c r="Q57" s="27">
        <f>Q$5</f>
        <v>0</v>
      </c>
      <c r="R57" s="27">
        <f t="shared" si="43"/>
        <v>0.014921</v>
      </c>
      <c r="S57" s="147">
        <f t="shared" si="44"/>
        <v>0.69</v>
      </c>
      <c r="V57" s="250">
        <f t="shared" si="48"/>
        <v>0.6896</v>
      </c>
      <c r="W57" s="249">
        <f t="shared" si="49"/>
        <v>0.69</v>
      </c>
      <c r="X57" s="30">
        <f t="shared" si="50"/>
        <v>-0.00039999999999995595</v>
      </c>
      <c r="Y57">
        <f t="shared" si="10"/>
        <v>-0.00039999999999995595</v>
      </c>
    </row>
    <row r="58" spans="3:19" ht="14.25" thickBot="1" thickTop="1">
      <c r="C58" s="171"/>
      <c r="K58" s="30"/>
      <c r="O58" s="18"/>
      <c r="P58" s="18"/>
      <c r="Q58" s="18"/>
      <c r="R58" s="18"/>
      <c r="S58" s="148"/>
    </row>
    <row r="59" spans="1:25" ht="14.25" thickBot="1" thickTop="1">
      <c r="A59" s="259" t="s">
        <v>141</v>
      </c>
      <c r="B59" s="268" t="s">
        <v>24</v>
      </c>
      <c r="C59" s="7" t="s">
        <v>13</v>
      </c>
      <c r="D59" s="23">
        <f>'CNTNR COST'!G57</f>
        <v>1.4208</v>
      </c>
      <c r="E59" s="11">
        <v>0</v>
      </c>
      <c r="F59" s="11">
        <f>+$F$9</f>
        <v>-0.0639</v>
      </c>
      <c r="G59" s="26">
        <f>ROUND($G$11*4,6)</f>
        <v>0</v>
      </c>
      <c r="H59" s="26">
        <f>ROUND($H$11*4,6)</f>
        <v>-0.0008</v>
      </c>
      <c r="I59" s="11">
        <f>ROUND(SUM(D59:H59),4)</f>
        <v>1.3561</v>
      </c>
      <c r="J59" s="11">
        <f>(I59/(1-$J$5))-I59</f>
        <v>0.04918497409326439</v>
      </c>
      <c r="K59" s="28">
        <f>ROUND(I59+J59,4)</f>
        <v>1.4053</v>
      </c>
      <c r="L59" s="11">
        <f>ROUND(L$11*4,4)</f>
        <v>-0.5068</v>
      </c>
      <c r="M59" s="11">
        <f>ROUND(M$11*4,4)</f>
        <v>1.0552</v>
      </c>
      <c r="O59" s="26">
        <f aca="true" t="shared" si="51" ref="O59:O67">ROUND(SUM(K59:N59),6)</f>
        <v>1.9537</v>
      </c>
      <c r="P59" s="26">
        <f aca="true" t="shared" si="52" ref="P59:P67">ROUND(O59*(-P$7),4)</f>
        <v>-0.2931</v>
      </c>
      <c r="Q59" s="26">
        <f>4*Q$5</f>
        <v>0</v>
      </c>
      <c r="R59" s="26">
        <f aca="true" t="shared" si="53" ref="R59:R67">ROUND(((Q59+P59+O59)/(1-R$5))-(Q59+P59+O59),6)</f>
        <v>0.042579</v>
      </c>
      <c r="S59" s="145">
        <f aca="true" t="shared" si="54" ref="S59:S67">IF(ROUND(SUM(O59:R59),2)&gt;O59,ROUND(SUM(O59:R59),2),ROUND(O59+0.005,2))</f>
        <v>1.96</v>
      </c>
      <c r="V59" s="250">
        <f>IF(ROUND(SUM(O59:R59),4)&gt;O59,ROUND(SUM(O59:R59),4),ROUND(O59+0.005,4))</f>
        <v>1.9587</v>
      </c>
      <c r="W59" s="249">
        <f>IF(ROUND(SUM(O59:R59),2)&gt;O59,ROUND(SUM(O59:R59),2),ROUND(O59+0.005,2))</f>
        <v>1.96</v>
      </c>
      <c r="X59" s="30">
        <f>V59-W59</f>
        <v>-0.0012999999999998568</v>
      </c>
      <c r="Y59">
        <f t="shared" si="10"/>
        <v>-0.0012999999999998568</v>
      </c>
    </row>
    <row r="60" spans="1:25" ht="14.25" thickBot="1" thickTop="1">
      <c r="A60" s="260"/>
      <c r="B60" s="269"/>
      <c r="C60" s="7" t="s">
        <v>58</v>
      </c>
      <c r="D60" s="13">
        <f>'CNTNR COST'!G58</f>
        <v>0.7104</v>
      </c>
      <c r="E60" s="12">
        <v>0</v>
      </c>
      <c r="F60" s="12">
        <f>+$F$10</f>
        <v>-0.0419</v>
      </c>
      <c r="G60" s="17">
        <f>ROUND($G$11*2,6)</f>
        <v>0</v>
      </c>
      <c r="H60" s="17">
        <f>ROUND($H$11*2,6)</f>
        <v>-0.0004</v>
      </c>
      <c r="I60" s="12">
        <f aca="true" t="shared" si="55" ref="I60:I67">ROUND(SUM(D60:H60),4)</f>
        <v>0.6681</v>
      </c>
      <c r="J60" s="12">
        <f aca="true" t="shared" si="56" ref="J60:J67">(I60/(1-$J$5))-I60</f>
        <v>0.024231606217616553</v>
      </c>
      <c r="K60" s="16">
        <f aca="true" t="shared" si="57" ref="K60:K67">ROUND(I60+J60,4)</f>
        <v>0.6923</v>
      </c>
      <c r="L60" s="12">
        <f>ROUND(L$11*2,4)</f>
        <v>-0.2534</v>
      </c>
      <c r="M60" s="12">
        <f>ROUND(M$11*2,4)</f>
        <v>0.5276</v>
      </c>
      <c r="O60" s="17">
        <f t="shared" si="51"/>
        <v>0.9665</v>
      </c>
      <c r="P60" s="17">
        <f t="shared" si="52"/>
        <v>-0.145</v>
      </c>
      <c r="Q60" s="252">
        <f>2*Q$5</f>
        <v>0</v>
      </c>
      <c r="R60" s="17">
        <f t="shared" si="53"/>
        <v>0.021064</v>
      </c>
      <c r="S60" s="146">
        <f t="shared" si="54"/>
        <v>0.97</v>
      </c>
      <c r="V60" s="250">
        <f aca="true" t="shared" si="58" ref="V60:V67">IF(ROUND(SUM(O60:R60),4)&gt;O60,ROUND(SUM(O60:R60),4),ROUND(O60+0.005,4))</f>
        <v>0.9715</v>
      </c>
      <c r="W60" s="249">
        <f aca="true" t="shared" si="59" ref="W60:W67">IF(ROUND(SUM(O60:R60),2)&gt;O60,ROUND(SUM(O60:R60),2),ROUND(O60+0.005,2))</f>
        <v>0.97</v>
      </c>
      <c r="X60" s="30">
        <f aca="true" t="shared" si="60" ref="X60:X67">V60-W60</f>
        <v>0.0015000000000000568</v>
      </c>
      <c r="Y60">
        <f t="shared" si="10"/>
        <v>0.0015000000000000568</v>
      </c>
    </row>
    <row r="61" spans="1:25" ht="14.25" thickBot="1" thickTop="1">
      <c r="A61" s="260"/>
      <c r="B61" s="269"/>
      <c r="C61" s="7" t="s">
        <v>15</v>
      </c>
      <c r="D61" s="13">
        <f>'CNTNR COST'!G59</f>
        <v>0.3552</v>
      </c>
      <c r="E61" s="12">
        <v>0</v>
      </c>
      <c r="F61" s="12">
        <f>+$F$11</f>
        <v>0.028</v>
      </c>
      <c r="G61" s="12">
        <f>Energy_Addon</f>
        <v>0</v>
      </c>
      <c r="H61" s="17">
        <f>ROUND(COST_UPDATE_ADJ,4)</f>
        <v>-0.0002</v>
      </c>
      <c r="I61" s="12">
        <f t="shared" si="55"/>
        <v>0.383</v>
      </c>
      <c r="J61" s="12">
        <f t="shared" si="56"/>
        <v>0.013891191709844597</v>
      </c>
      <c r="K61" s="16">
        <f t="shared" si="57"/>
        <v>0.3969</v>
      </c>
      <c r="L61" s="12">
        <f>$L$11</f>
        <v>-0.1267</v>
      </c>
      <c r="M61" s="12">
        <f>$M$11</f>
        <v>0.2638</v>
      </c>
      <c r="O61" s="17">
        <f t="shared" si="51"/>
        <v>0.534</v>
      </c>
      <c r="P61" s="17">
        <f t="shared" si="52"/>
        <v>-0.0801</v>
      </c>
      <c r="Q61" s="252">
        <f>Q$5</f>
        <v>0</v>
      </c>
      <c r="R61" s="17">
        <f t="shared" si="53"/>
        <v>0.011638</v>
      </c>
      <c r="S61" s="146">
        <f t="shared" si="54"/>
        <v>0.54</v>
      </c>
      <c r="V61" s="250">
        <f t="shared" si="58"/>
        <v>0.539</v>
      </c>
      <c r="W61" s="249">
        <f t="shared" si="59"/>
        <v>0.54</v>
      </c>
      <c r="X61" s="30">
        <f t="shared" si="60"/>
        <v>-0.0010000000000000009</v>
      </c>
      <c r="Y61">
        <f t="shared" si="10"/>
        <v>-0.0010000000000000009</v>
      </c>
    </row>
    <row r="62" spans="1:25" ht="14.25" thickBot="1" thickTop="1">
      <c r="A62" s="260"/>
      <c r="B62" s="269"/>
      <c r="C62" s="7" t="s">
        <v>16</v>
      </c>
      <c r="D62" s="13">
        <f>'CNTNR COST'!G60</f>
        <v>0.1776</v>
      </c>
      <c r="E62" s="12">
        <v>0</v>
      </c>
      <c r="F62" s="12">
        <f>+$F$12</f>
        <v>0.0549</v>
      </c>
      <c r="G62" s="17">
        <f>ROUND($G$11/2,4)</f>
        <v>0</v>
      </c>
      <c r="H62" s="17">
        <f>ROUND($H$11/2,4)</f>
        <v>-0.0001</v>
      </c>
      <c r="I62" s="12">
        <f t="shared" si="55"/>
        <v>0.2324</v>
      </c>
      <c r="J62" s="12">
        <f t="shared" si="56"/>
        <v>0.008429015544041463</v>
      </c>
      <c r="K62" s="16">
        <f t="shared" si="57"/>
        <v>0.2408</v>
      </c>
      <c r="L62" s="12">
        <f>ROUND(L$11/2,4)</f>
        <v>-0.0634</v>
      </c>
      <c r="M62" s="12">
        <f>ROUND(M$11/2,4)</f>
        <v>0.1319</v>
      </c>
      <c r="O62" s="17">
        <f t="shared" si="51"/>
        <v>0.3093</v>
      </c>
      <c r="P62" s="17">
        <f t="shared" si="52"/>
        <v>-0.0464</v>
      </c>
      <c r="Q62" s="252">
        <f>ROUND(0.5*Q$5,4)</f>
        <v>0</v>
      </c>
      <c r="R62" s="17">
        <f t="shared" si="53"/>
        <v>0.006741</v>
      </c>
      <c r="S62" s="146">
        <f t="shared" si="54"/>
        <v>0.31</v>
      </c>
      <c r="V62" s="250">
        <f t="shared" si="58"/>
        <v>0.3143</v>
      </c>
      <c r="W62" s="249">
        <f t="shared" si="59"/>
        <v>0.31</v>
      </c>
      <c r="X62" s="30">
        <f t="shared" si="60"/>
        <v>0.004300000000000026</v>
      </c>
      <c r="Y62">
        <f t="shared" si="10"/>
        <v>0.004300000000000026</v>
      </c>
    </row>
    <row r="63" spans="1:25" ht="14.25" thickBot="1" thickTop="1">
      <c r="A63" s="260"/>
      <c r="B63" s="269"/>
      <c r="C63" s="7" t="s">
        <v>153</v>
      </c>
      <c r="D63" s="13">
        <f>'CNTNR COST'!G61</f>
        <v>0.1693</v>
      </c>
      <c r="E63" s="12"/>
      <c r="F63" s="12">
        <f>+$F$13</f>
        <v>0</v>
      </c>
      <c r="G63" s="17">
        <f>ROUND($G$11/32*12,4)</f>
        <v>0</v>
      </c>
      <c r="H63" s="17">
        <f>ROUND($H$11/32*12,4)</f>
        <v>-0.0001</v>
      </c>
      <c r="I63" s="12">
        <f t="shared" si="55"/>
        <v>0.1692</v>
      </c>
      <c r="J63" s="12">
        <f t="shared" si="56"/>
        <v>0.006136787564766849</v>
      </c>
      <c r="K63" s="16">
        <f t="shared" si="57"/>
        <v>0.1753</v>
      </c>
      <c r="L63" s="12">
        <f>ROUND(L$11/32*12,4)</f>
        <v>-0.0475</v>
      </c>
      <c r="M63" s="12">
        <f>ROUND(M$11/32*12,4)</f>
        <v>0.0989</v>
      </c>
      <c r="O63" s="17">
        <f t="shared" si="51"/>
        <v>0.2267</v>
      </c>
      <c r="P63" s="17">
        <f t="shared" si="52"/>
        <v>-0.034</v>
      </c>
      <c r="Q63" s="252">
        <f>ROUND(12/32*Q$5,4)</f>
        <v>0</v>
      </c>
      <c r="R63" s="17">
        <f t="shared" si="53"/>
        <v>0.004941</v>
      </c>
      <c r="S63" s="146">
        <f t="shared" si="54"/>
        <v>0.23</v>
      </c>
      <c r="V63" s="250">
        <f t="shared" si="58"/>
        <v>0.2317</v>
      </c>
      <c r="W63" s="249">
        <f t="shared" si="59"/>
        <v>0.23</v>
      </c>
      <c r="X63" s="30">
        <f t="shared" si="60"/>
        <v>0.0016999999999999793</v>
      </c>
      <c r="Y63">
        <f t="shared" si="10"/>
        <v>0.0016999999999999793</v>
      </c>
    </row>
    <row r="64" spans="1:25" ht="14.25" thickBot="1" thickTop="1">
      <c r="A64" s="260"/>
      <c r="B64" s="269"/>
      <c r="C64" s="7" t="s">
        <v>59</v>
      </c>
      <c r="D64" s="13">
        <f>'CNTNR COST'!G62</f>
        <v>0.1411</v>
      </c>
      <c r="E64" s="12">
        <v>0</v>
      </c>
      <c r="F64" s="12">
        <f>+$F$14</f>
        <v>0</v>
      </c>
      <c r="G64" s="17">
        <f>ROUND($G$11/32*10,4)</f>
        <v>0</v>
      </c>
      <c r="H64" s="17">
        <f>ROUND($H$11/32*10,4)</f>
        <v>-0.0001</v>
      </c>
      <c r="I64" s="12">
        <f t="shared" si="55"/>
        <v>0.141</v>
      </c>
      <c r="J64" s="12">
        <f t="shared" si="56"/>
        <v>0.005113989637305694</v>
      </c>
      <c r="K64" s="16">
        <f t="shared" si="57"/>
        <v>0.1461</v>
      </c>
      <c r="L64" s="12">
        <f>ROUND(L$11/32*10,4)</f>
        <v>-0.0396</v>
      </c>
      <c r="M64" s="12">
        <f>ROUND(M$11/32*10,4)</f>
        <v>0.0824</v>
      </c>
      <c r="O64" s="17">
        <f t="shared" si="51"/>
        <v>0.1889</v>
      </c>
      <c r="P64" s="17">
        <f t="shared" si="52"/>
        <v>-0.0283</v>
      </c>
      <c r="Q64" s="252">
        <f>ROUND(10/32*Q$5,4)</f>
        <v>0</v>
      </c>
      <c r="R64" s="17">
        <f t="shared" si="53"/>
        <v>0.004118</v>
      </c>
      <c r="S64" s="146">
        <f t="shared" si="54"/>
        <v>0.19</v>
      </c>
      <c r="V64" s="250">
        <f t="shared" si="58"/>
        <v>0.1939</v>
      </c>
      <c r="W64" s="249">
        <f t="shared" si="59"/>
        <v>0.19</v>
      </c>
      <c r="X64" s="30">
        <f t="shared" si="60"/>
        <v>0.003899999999999987</v>
      </c>
      <c r="Y64">
        <f t="shared" si="10"/>
        <v>0.003899999999999987</v>
      </c>
    </row>
    <row r="65" spans="1:25" ht="14.25" thickBot="1" thickTop="1">
      <c r="A65" s="260"/>
      <c r="B65" s="269"/>
      <c r="C65" s="7" t="s">
        <v>60</v>
      </c>
      <c r="D65" s="13">
        <f>'CNTNR COST'!G63</f>
        <v>0.0889</v>
      </c>
      <c r="E65" s="12">
        <v>0</v>
      </c>
      <c r="F65" s="12">
        <f>+$F$15</f>
        <v>0.0199</v>
      </c>
      <c r="G65" s="17">
        <f>ROUND($G$11/4,4)</f>
        <v>0</v>
      </c>
      <c r="H65" s="17">
        <f>ROUND($H$11/4,4)</f>
        <v>-0.0001</v>
      </c>
      <c r="I65" s="12">
        <f t="shared" si="55"/>
        <v>0.1087</v>
      </c>
      <c r="J65" s="12">
        <f t="shared" si="56"/>
        <v>0.003942487046632123</v>
      </c>
      <c r="K65" s="16">
        <f t="shared" si="57"/>
        <v>0.1126</v>
      </c>
      <c r="L65" s="12">
        <f>ROUND(L$11/4,4)</f>
        <v>-0.0317</v>
      </c>
      <c r="M65" s="12">
        <f>ROUND(M$11/4,4)</f>
        <v>0.066</v>
      </c>
      <c r="O65" s="17">
        <f t="shared" si="51"/>
        <v>0.1469</v>
      </c>
      <c r="P65" s="17">
        <f t="shared" si="52"/>
        <v>-0.022</v>
      </c>
      <c r="Q65" s="252">
        <f>ROUND(0.25*Q$5,4)</f>
        <v>0</v>
      </c>
      <c r="R65" s="17">
        <f t="shared" si="53"/>
        <v>0.003203</v>
      </c>
      <c r="S65" s="146">
        <f t="shared" si="54"/>
        <v>0.15</v>
      </c>
      <c r="V65" s="250">
        <f t="shared" si="58"/>
        <v>0.1519</v>
      </c>
      <c r="W65" s="249">
        <f t="shared" si="59"/>
        <v>0.15</v>
      </c>
      <c r="X65" s="30">
        <f t="shared" si="60"/>
        <v>0.0019000000000000128</v>
      </c>
      <c r="Y65">
        <f t="shared" si="10"/>
        <v>0.0019000000000000128</v>
      </c>
    </row>
    <row r="66" spans="1:25" ht="14.25" thickBot="1" thickTop="1">
      <c r="A66" s="260"/>
      <c r="B66" s="269"/>
      <c r="C66" s="7" t="s">
        <v>61</v>
      </c>
      <c r="D66" s="13">
        <f>'CNTNR COST'!G64</f>
        <v>0.0649</v>
      </c>
      <c r="E66" s="12">
        <v>0</v>
      </c>
      <c r="F66" s="12">
        <f>+$F$16</f>
        <v>0.0271</v>
      </c>
      <c r="G66" s="17">
        <f>ROUND($G$11/8,4)</f>
        <v>0</v>
      </c>
      <c r="H66" s="17">
        <f>ROUND($H$11/8,4)</f>
        <v>0</v>
      </c>
      <c r="I66" s="12">
        <f t="shared" si="55"/>
        <v>0.092</v>
      </c>
      <c r="J66" s="12">
        <f t="shared" si="56"/>
        <v>0.0033367875647668382</v>
      </c>
      <c r="K66" s="16">
        <f t="shared" si="57"/>
        <v>0.0953</v>
      </c>
      <c r="L66" s="12">
        <f>ROUND(L$11/8,4)</f>
        <v>-0.0158</v>
      </c>
      <c r="M66" s="12">
        <f>ROUND(M$11/8,4)</f>
        <v>0.033</v>
      </c>
      <c r="O66" s="17">
        <f t="shared" si="51"/>
        <v>0.1125</v>
      </c>
      <c r="P66" s="17">
        <f t="shared" si="52"/>
        <v>-0.0169</v>
      </c>
      <c r="Q66" s="252">
        <f>ROUND(0.125*Q$5,4)</f>
        <v>0</v>
      </c>
      <c r="R66" s="17">
        <f t="shared" si="53"/>
        <v>0.002451</v>
      </c>
      <c r="S66" s="146">
        <f t="shared" si="54"/>
        <v>0.12</v>
      </c>
      <c r="V66" s="250">
        <f t="shared" si="58"/>
        <v>0.1175</v>
      </c>
      <c r="W66" s="249">
        <f t="shared" si="59"/>
        <v>0.12</v>
      </c>
      <c r="X66" s="30">
        <f t="shared" si="60"/>
        <v>-0.0025000000000000022</v>
      </c>
      <c r="Y66">
        <f t="shared" si="10"/>
        <v>-0.0025000000000000022</v>
      </c>
    </row>
    <row r="67" spans="1:25" ht="14.25" thickBot="1" thickTop="1">
      <c r="A67" s="261"/>
      <c r="B67" s="270"/>
      <c r="C67" s="7" t="s">
        <v>82</v>
      </c>
      <c r="D67" s="24">
        <f>'CNTNR COST'!G65</f>
        <v>0.409</v>
      </c>
      <c r="E67" s="25">
        <v>0</v>
      </c>
      <c r="F67" s="25">
        <f>+$F$17</f>
        <v>0.1195</v>
      </c>
      <c r="G67" s="27">
        <f>ROUND($G$11,6)</f>
        <v>0</v>
      </c>
      <c r="H67" s="27">
        <f>ROUND($H$11,6)</f>
        <v>-0.0002</v>
      </c>
      <c r="I67" s="25">
        <f t="shared" si="55"/>
        <v>0.5283</v>
      </c>
      <c r="J67" s="25">
        <f t="shared" si="56"/>
        <v>0.019161139896373025</v>
      </c>
      <c r="K67" s="29">
        <f t="shared" si="57"/>
        <v>0.5475</v>
      </c>
      <c r="L67" s="25">
        <f>L$11</f>
        <v>-0.1267</v>
      </c>
      <c r="M67" s="25">
        <f>M$11</f>
        <v>0.2638</v>
      </c>
      <c r="O67" s="27">
        <f t="shared" si="51"/>
        <v>0.6846</v>
      </c>
      <c r="P67" s="27">
        <f t="shared" si="52"/>
        <v>-0.1027</v>
      </c>
      <c r="Q67" s="27">
        <f>Q$5</f>
        <v>0</v>
      </c>
      <c r="R67" s="27">
        <f t="shared" si="53"/>
        <v>0.014921</v>
      </c>
      <c r="S67" s="147">
        <f t="shared" si="54"/>
        <v>0.69</v>
      </c>
      <c r="V67" s="250">
        <f t="shared" si="58"/>
        <v>0.6896</v>
      </c>
      <c r="W67" s="249">
        <f t="shared" si="59"/>
        <v>0.69</v>
      </c>
      <c r="X67" s="30">
        <f t="shared" si="60"/>
        <v>-0.00039999999999995595</v>
      </c>
      <c r="Y67">
        <f t="shared" si="10"/>
        <v>-0.00039999999999995595</v>
      </c>
    </row>
    <row r="68" spans="3:19" ht="14.25" thickBot="1" thickTop="1">
      <c r="C68" s="171"/>
      <c r="K68" s="30"/>
      <c r="O68" s="18"/>
      <c r="P68" s="18"/>
      <c r="Q68" s="18"/>
      <c r="R68" s="18"/>
      <c r="S68" s="148"/>
    </row>
    <row r="69" spans="1:25" ht="14.25" thickBot="1" thickTop="1">
      <c r="A69" s="275" t="s">
        <v>181</v>
      </c>
      <c r="B69" s="268" t="s">
        <v>24</v>
      </c>
      <c r="C69" s="7" t="s">
        <v>13</v>
      </c>
      <c r="D69" s="23">
        <f>'CNTNR COST'!G67</f>
        <v>1.4208</v>
      </c>
      <c r="E69" s="11">
        <v>0</v>
      </c>
      <c r="F69" s="11">
        <f>+$F$9</f>
        <v>-0.0639</v>
      </c>
      <c r="G69" s="26">
        <f>ROUND($G$11*4,6)</f>
        <v>0</v>
      </c>
      <c r="H69" s="26">
        <f>ROUND($H$11*4,6)</f>
        <v>-0.0008</v>
      </c>
      <c r="I69" s="11">
        <f>ROUND(SUM(D69:H69),4)</f>
        <v>1.3561</v>
      </c>
      <c r="J69" s="11">
        <f>(I69/(1-$J$5))-I69</f>
        <v>0.04918497409326439</v>
      </c>
      <c r="K69" s="28">
        <f>ROUND(I69+J69,4)</f>
        <v>1.4053</v>
      </c>
      <c r="L69" s="11">
        <f>ROUND(L$11*4,4)</f>
        <v>-0.5068</v>
      </c>
      <c r="M69" s="11">
        <f>ROUND(M$11*4,4)</f>
        <v>1.0552</v>
      </c>
      <c r="O69" s="26">
        <f aca="true" t="shared" si="61" ref="O69:O77">ROUND(SUM(K69:N69),6)</f>
        <v>1.9537</v>
      </c>
      <c r="P69" s="26">
        <f aca="true" t="shared" si="62" ref="P69:P77">ROUND(O69*(-P$7),4)</f>
        <v>-0.2931</v>
      </c>
      <c r="Q69" s="26">
        <f>4*Q$5</f>
        <v>0</v>
      </c>
      <c r="R69" s="26">
        <f aca="true" t="shared" si="63" ref="R69:R77">ROUND(((Q69+P69+O69)/(1-R$5))-(Q69+P69+O69),6)</f>
        <v>0.042579</v>
      </c>
      <c r="S69" s="145">
        <f aca="true" t="shared" si="64" ref="S69:S77">IF(ROUND(SUM(O69:R69),2)&gt;O69,ROUND(SUM(O69:R69),2),ROUND(O69+0.005,2))</f>
        <v>1.96</v>
      </c>
      <c r="V69" s="250">
        <f>IF(ROUND(SUM(O69:R69),4)&gt;O69,ROUND(SUM(O69:R69),4),ROUND(O69+0.005,4))</f>
        <v>1.9587</v>
      </c>
      <c r="W69" s="249">
        <f>IF(ROUND(SUM(O69:R69),2)&gt;O69,ROUND(SUM(O69:R69),2),ROUND(O69+0.005,2))</f>
        <v>1.96</v>
      </c>
      <c r="X69" s="30">
        <f>V69-W69</f>
        <v>-0.0012999999999998568</v>
      </c>
      <c r="Y69">
        <f t="shared" si="10"/>
        <v>-0.0012999999999998568</v>
      </c>
    </row>
    <row r="70" spans="1:25" ht="14.25" thickBot="1" thickTop="1">
      <c r="A70" s="260"/>
      <c r="B70" s="269"/>
      <c r="C70" s="7" t="s">
        <v>58</v>
      </c>
      <c r="D70" s="13">
        <f>'CNTNR COST'!G68</f>
        <v>0.7104</v>
      </c>
      <c r="E70" s="12">
        <v>0</v>
      </c>
      <c r="F70" s="12">
        <f>+$F$10</f>
        <v>-0.0419</v>
      </c>
      <c r="G70" s="17">
        <f>ROUND($G$11*2,6)</f>
        <v>0</v>
      </c>
      <c r="H70" s="17">
        <f>ROUND($H$11*2,6)</f>
        <v>-0.0004</v>
      </c>
      <c r="I70" s="12">
        <f aca="true" t="shared" si="65" ref="I70:I77">ROUND(SUM(D70:H70),4)</f>
        <v>0.6681</v>
      </c>
      <c r="J70" s="12">
        <f aca="true" t="shared" si="66" ref="J70:J77">(I70/(1-$J$5))-I70</f>
        <v>0.024231606217616553</v>
      </c>
      <c r="K70" s="16">
        <f aca="true" t="shared" si="67" ref="K70:K77">ROUND(I70+J70,4)</f>
        <v>0.6923</v>
      </c>
      <c r="L70" s="12">
        <f>ROUND(L$11*2,4)</f>
        <v>-0.2534</v>
      </c>
      <c r="M70" s="12">
        <f>ROUND(M$11*2,4)</f>
        <v>0.5276</v>
      </c>
      <c r="O70" s="17">
        <f t="shared" si="61"/>
        <v>0.9665</v>
      </c>
      <c r="P70" s="17">
        <f t="shared" si="62"/>
        <v>-0.145</v>
      </c>
      <c r="Q70" s="252">
        <f>2*Q$5</f>
        <v>0</v>
      </c>
      <c r="R70" s="17">
        <f t="shared" si="63"/>
        <v>0.021064</v>
      </c>
      <c r="S70" s="146">
        <f t="shared" si="64"/>
        <v>0.97</v>
      </c>
      <c r="V70" s="250">
        <f aca="true" t="shared" si="68" ref="V70:V77">IF(ROUND(SUM(O70:R70),4)&gt;O70,ROUND(SUM(O70:R70),4),ROUND(O70+0.005,4))</f>
        <v>0.9715</v>
      </c>
      <c r="W70" s="249">
        <f aca="true" t="shared" si="69" ref="W70:W77">IF(ROUND(SUM(O70:R70),2)&gt;O70,ROUND(SUM(O70:R70),2),ROUND(O70+0.005,2))</f>
        <v>0.97</v>
      </c>
      <c r="X70" s="30">
        <f aca="true" t="shared" si="70" ref="X70:X77">V70-W70</f>
        <v>0.0015000000000000568</v>
      </c>
      <c r="Y70">
        <f t="shared" si="10"/>
        <v>0.0015000000000000568</v>
      </c>
    </row>
    <row r="71" spans="1:25" ht="14.25" thickBot="1" thickTop="1">
      <c r="A71" s="260"/>
      <c r="B71" s="269"/>
      <c r="C71" s="7" t="s">
        <v>15</v>
      </c>
      <c r="D71" s="13">
        <f>'CNTNR COST'!G69</f>
        <v>0.3552</v>
      </c>
      <c r="E71" s="12">
        <v>0</v>
      </c>
      <c r="F71" s="12">
        <f>+$F$11</f>
        <v>0.028</v>
      </c>
      <c r="G71" s="12">
        <f>Energy_Addon</f>
        <v>0</v>
      </c>
      <c r="H71" s="17">
        <f>ROUND(COST_UPDATE_ADJ,4)</f>
        <v>-0.0002</v>
      </c>
      <c r="I71" s="12">
        <f t="shared" si="65"/>
        <v>0.383</v>
      </c>
      <c r="J71" s="12">
        <f t="shared" si="66"/>
        <v>0.013891191709844597</v>
      </c>
      <c r="K71" s="16">
        <f t="shared" si="67"/>
        <v>0.3969</v>
      </c>
      <c r="L71" s="12">
        <f>$L$11</f>
        <v>-0.1267</v>
      </c>
      <c r="M71" s="12">
        <f>$M$11</f>
        <v>0.2638</v>
      </c>
      <c r="O71" s="17">
        <f t="shared" si="61"/>
        <v>0.534</v>
      </c>
      <c r="P71" s="17">
        <f t="shared" si="62"/>
        <v>-0.0801</v>
      </c>
      <c r="Q71" s="252">
        <f>Q$5</f>
        <v>0</v>
      </c>
      <c r="R71" s="17">
        <f t="shared" si="63"/>
        <v>0.011638</v>
      </c>
      <c r="S71" s="146">
        <f t="shared" si="64"/>
        <v>0.54</v>
      </c>
      <c r="V71" s="250">
        <f t="shared" si="68"/>
        <v>0.539</v>
      </c>
      <c r="W71" s="249">
        <f t="shared" si="69"/>
        <v>0.54</v>
      </c>
      <c r="X71" s="30">
        <f t="shared" si="70"/>
        <v>-0.0010000000000000009</v>
      </c>
      <c r="Y71">
        <f t="shared" si="10"/>
        <v>-0.0010000000000000009</v>
      </c>
    </row>
    <row r="72" spans="1:25" ht="14.25" thickBot="1" thickTop="1">
      <c r="A72" s="260"/>
      <c r="B72" s="269"/>
      <c r="C72" s="7" t="s">
        <v>16</v>
      </c>
      <c r="D72" s="13">
        <f>'CNTNR COST'!G70</f>
        <v>0.1776</v>
      </c>
      <c r="E72" s="12">
        <v>0</v>
      </c>
      <c r="F72" s="12">
        <f>+$F$12</f>
        <v>0.0549</v>
      </c>
      <c r="G72" s="17">
        <f>ROUND($G$11/2,4)</f>
        <v>0</v>
      </c>
      <c r="H72" s="17">
        <f>ROUND($H$11/2,4)</f>
        <v>-0.0001</v>
      </c>
      <c r="I72" s="12">
        <f t="shared" si="65"/>
        <v>0.2324</v>
      </c>
      <c r="J72" s="12">
        <f t="shared" si="66"/>
        <v>0.008429015544041463</v>
      </c>
      <c r="K72" s="16">
        <f t="shared" si="67"/>
        <v>0.2408</v>
      </c>
      <c r="L72" s="12">
        <f>ROUND(L$11/2,4)</f>
        <v>-0.0634</v>
      </c>
      <c r="M72" s="12">
        <f>ROUND(M$11/2,4)</f>
        <v>0.1319</v>
      </c>
      <c r="O72" s="17">
        <f t="shared" si="61"/>
        <v>0.3093</v>
      </c>
      <c r="P72" s="17">
        <f t="shared" si="62"/>
        <v>-0.0464</v>
      </c>
      <c r="Q72" s="252">
        <f>ROUND(0.5*Q$5,4)</f>
        <v>0</v>
      </c>
      <c r="R72" s="17">
        <f t="shared" si="63"/>
        <v>0.006741</v>
      </c>
      <c r="S72" s="146">
        <f t="shared" si="64"/>
        <v>0.31</v>
      </c>
      <c r="V72" s="250">
        <f t="shared" si="68"/>
        <v>0.3143</v>
      </c>
      <c r="W72" s="249">
        <f t="shared" si="69"/>
        <v>0.31</v>
      </c>
      <c r="X72" s="30">
        <f t="shared" si="70"/>
        <v>0.004300000000000026</v>
      </c>
      <c r="Y72">
        <f t="shared" si="10"/>
        <v>0.004300000000000026</v>
      </c>
    </row>
    <row r="73" spans="1:25" ht="14.25" thickBot="1" thickTop="1">
      <c r="A73" s="260"/>
      <c r="B73" s="269"/>
      <c r="C73" s="7" t="s">
        <v>153</v>
      </c>
      <c r="D73" s="13">
        <f>'CNTNR COST'!G71</f>
        <v>0.1693</v>
      </c>
      <c r="E73" s="12"/>
      <c r="F73" s="12">
        <f>+$F$13</f>
        <v>0</v>
      </c>
      <c r="G73" s="17">
        <f>ROUND($G$11/32*12,4)</f>
        <v>0</v>
      </c>
      <c r="H73" s="17">
        <f>ROUND($H$11/32*12,4)</f>
        <v>-0.0001</v>
      </c>
      <c r="I73" s="12">
        <f t="shared" si="65"/>
        <v>0.1692</v>
      </c>
      <c r="J73" s="12">
        <f t="shared" si="66"/>
        <v>0.006136787564766849</v>
      </c>
      <c r="K73" s="16">
        <f t="shared" si="67"/>
        <v>0.1753</v>
      </c>
      <c r="L73" s="12">
        <f>ROUND(L$11/32*12,4)</f>
        <v>-0.0475</v>
      </c>
      <c r="M73" s="12">
        <f>ROUND(M$11/32*12,4)</f>
        <v>0.0989</v>
      </c>
      <c r="O73" s="17">
        <f t="shared" si="61"/>
        <v>0.2267</v>
      </c>
      <c r="P73" s="17">
        <f t="shared" si="62"/>
        <v>-0.034</v>
      </c>
      <c r="Q73" s="252">
        <f>ROUND(12/32*Q$5,4)</f>
        <v>0</v>
      </c>
      <c r="R73" s="17">
        <f t="shared" si="63"/>
        <v>0.004941</v>
      </c>
      <c r="S73" s="146">
        <f t="shared" si="64"/>
        <v>0.23</v>
      </c>
      <c r="V73" s="250">
        <f t="shared" si="68"/>
        <v>0.2317</v>
      </c>
      <c r="W73" s="249">
        <f t="shared" si="69"/>
        <v>0.23</v>
      </c>
      <c r="X73" s="30">
        <f t="shared" si="70"/>
        <v>0.0016999999999999793</v>
      </c>
      <c r="Y73">
        <f t="shared" si="10"/>
        <v>0.0016999999999999793</v>
      </c>
    </row>
    <row r="74" spans="1:25" ht="14.25" thickBot="1" thickTop="1">
      <c r="A74" s="260"/>
      <c r="B74" s="269"/>
      <c r="C74" s="7" t="s">
        <v>59</v>
      </c>
      <c r="D74" s="13">
        <f>'CNTNR COST'!G72</f>
        <v>0.1411</v>
      </c>
      <c r="E74" s="12">
        <v>0</v>
      </c>
      <c r="F74" s="12">
        <f>+$F$14</f>
        <v>0</v>
      </c>
      <c r="G74" s="17">
        <f>ROUND($G$11/32*10,4)</f>
        <v>0</v>
      </c>
      <c r="H74" s="17">
        <f>ROUND($H$11/32*10,4)</f>
        <v>-0.0001</v>
      </c>
      <c r="I74" s="12">
        <f t="shared" si="65"/>
        <v>0.141</v>
      </c>
      <c r="J74" s="12">
        <f t="shared" si="66"/>
        <v>0.005113989637305694</v>
      </c>
      <c r="K74" s="16">
        <f t="shared" si="67"/>
        <v>0.1461</v>
      </c>
      <c r="L74" s="12">
        <f>ROUND(L$11/32*10,4)</f>
        <v>-0.0396</v>
      </c>
      <c r="M74" s="12">
        <f>ROUND(M$11/32*10,4)</f>
        <v>0.0824</v>
      </c>
      <c r="O74" s="17">
        <f t="shared" si="61"/>
        <v>0.1889</v>
      </c>
      <c r="P74" s="17">
        <f t="shared" si="62"/>
        <v>-0.0283</v>
      </c>
      <c r="Q74" s="252">
        <f>ROUND(10/32*Q$5,4)</f>
        <v>0</v>
      </c>
      <c r="R74" s="17">
        <f t="shared" si="63"/>
        <v>0.004118</v>
      </c>
      <c r="S74" s="146">
        <f t="shared" si="64"/>
        <v>0.19</v>
      </c>
      <c r="V74" s="250">
        <f t="shared" si="68"/>
        <v>0.1939</v>
      </c>
      <c r="W74" s="249">
        <f t="shared" si="69"/>
        <v>0.19</v>
      </c>
      <c r="X74" s="30">
        <f t="shared" si="70"/>
        <v>0.003899999999999987</v>
      </c>
      <c r="Y74">
        <f aca="true" t="shared" si="71" ref="Y74:Y136">IF(X74=0.005,0.006,X74)</f>
        <v>0.003899999999999987</v>
      </c>
    </row>
    <row r="75" spans="1:25" ht="14.25" thickBot="1" thickTop="1">
      <c r="A75" s="260"/>
      <c r="B75" s="269"/>
      <c r="C75" s="7" t="s">
        <v>60</v>
      </c>
      <c r="D75" s="13">
        <f>'CNTNR COST'!G73</f>
        <v>0.0889</v>
      </c>
      <c r="E75" s="12">
        <v>0</v>
      </c>
      <c r="F75" s="12">
        <f>+$F$15</f>
        <v>0.0199</v>
      </c>
      <c r="G75" s="17">
        <f>ROUND($G$11/4,4)</f>
        <v>0</v>
      </c>
      <c r="H75" s="17">
        <f>ROUND($H$11/4,4)</f>
        <v>-0.0001</v>
      </c>
      <c r="I75" s="12">
        <f t="shared" si="65"/>
        <v>0.1087</v>
      </c>
      <c r="J75" s="12">
        <f t="shared" si="66"/>
        <v>0.003942487046632123</v>
      </c>
      <c r="K75" s="16">
        <f t="shared" si="67"/>
        <v>0.1126</v>
      </c>
      <c r="L75" s="12">
        <f>ROUND(L$11/4,4)</f>
        <v>-0.0317</v>
      </c>
      <c r="M75" s="12">
        <f>ROUND(M$11/4,4)</f>
        <v>0.066</v>
      </c>
      <c r="O75" s="17">
        <f t="shared" si="61"/>
        <v>0.1469</v>
      </c>
      <c r="P75" s="17">
        <f t="shared" si="62"/>
        <v>-0.022</v>
      </c>
      <c r="Q75" s="252">
        <f>ROUND(0.25*Q$5,4)</f>
        <v>0</v>
      </c>
      <c r="R75" s="17">
        <f t="shared" si="63"/>
        <v>0.003203</v>
      </c>
      <c r="S75" s="146">
        <f t="shared" si="64"/>
        <v>0.15</v>
      </c>
      <c r="V75" s="250">
        <f t="shared" si="68"/>
        <v>0.1519</v>
      </c>
      <c r="W75" s="249">
        <f t="shared" si="69"/>
        <v>0.15</v>
      </c>
      <c r="X75" s="30">
        <f t="shared" si="70"/>
        <v>0.0019000000000000128</v>
      </c>
      <c r="Y75">
        <f t="shared" si="71"/>
        <v>0.0019000000000000128</v>
      </c>
    </row>
    <row r="76" spans="1:25" ht="14.25" thickBot="1" thickTop="1">
      <c r="A76" s="260"/>
      <c r="B76" s="269"/>
      <c r="C76" s="7" t="s">
        <v>61</v>
      </c>
      <c r="D76" s="13">
        <f>'CNTNR COST'!G74</f>
        <v>0.0649</v>
      </c>
      <c r="E76" s="12">
        <v>0</v>
      </c>
      <c r="F76" s="12">
        <f>+$F$16</f>
        <v>0.0271</v>
      </c>
      <c r="G76" s="17">
        <f>ROUND($G$11/8,4)</f>
        <v>0</v>
      </c>
      <c r="H76" s="17">
        <f>ROUND($H$11/8,4)</f>
        <v>0</v>
      </c>
      <c r="I76" s="12">
        <f t="shared" si="65"/>
        <v>0.092</v>
      </c>
      <c r="J76" s="12">
        <f t="shared" si="66"/>
        <v>0.0033367875647668382</v>
      </c>
      <c r="K76" s="16">
        <f t="shared" si="67"/>
        <v>0.0953</v>
      </c>
      <c r="L76" s="12">
        <f>ROUND(L$11/8,4)</f>
        <v>-0.0158</v>
      </c>
      <c r="M76" s="12">
        <f>ROUND(M$11/8,4)</f>
        <v>0.033</v>
      </c>
      <c r="O76" s="17">
        <f t="shared" si="61"/>
        <v>0.1125</v>
      </c>
      <c r="P76" s="17">
        <f t="shared" si="62"/>
        <v>-0.0169</v>
      </c>
      <c r="Q76" s="252">
        <f>ROUND(0.125*Q$5,4)</f>
        <v>0</v>
      </c>
      <c r="R76" s="17">
        <f t="shared" si="63"/>
        <v>0.002451</v>
      </c>
      <c r="S76" s="146">
        <f t="shared" si="64"/>
        <v>0.12</v>
      </c>
      <c r="V76" s="250">
        <f t="shared" si="68"/>
        <v>0.1175</v>
      </c>
      <c r="W76" s="249">
        <f t="shared" si="69"/>
        <v>0.12</v>
      </c>
      <c r="X76" s="30">
        <f t="shared" si="70"/>
        <v>-0.0025000000000000022</v>
      </c>
      <c r="Y76">
        <f t="shared" si="71"/>
        <v>-0.0025000000000000022</v>
      </c>
    </row>
    <row r="77" spans="1:25" ht="14.25" thickBot="1" thickTop="1">
      <c r="A77" s="261"/>
      <c r="B77" s="270"/>
      <c r="C77" s="7" t="s">
        <v>82</v>
      </c>
      <c r="D77" s="24">
        <f>'CNTNR COST'!G75</f>
        <v>0.409</v>
      </c>
      <c r="E77" s="25">
        <v>0</v>
      </c>
      <c r="F77" s="25">
        <f>+$F$17</f>
        <v>0.1195</v>
      </c>
      <c r="G77" s="27">
        <f>ROUND($G$11,6)</f>
        <v>0</v>
      </c>
      <c r="H77" s="27">
        <f>ROUND($H$11,6)</f>
        <v>-0.0002</v>
      </c>
      <c r="I77" s="25">
        <f t="shared" si="65"/>
        <v>0.5283</v>
      </c>
      <c r="J77" s="25">
        <f t="shared" si="66"/>
        <v>0.019161139896373025</v>
      </c>
      <c r="K77" s="29">
        <f t="shared" si="67"/>
        <v>0.5475</v>
      </c>
      <c r="L77" s="25">
        <f>L$11</f>
        <v>-0.1267</v>
      </c>
      <c r="M77" s="25">
        <f>M$11</f>
        <v>0.2638</v>
      </c>
      <c r="O77" s="27">
        <f t="shared" si="61"/>
        <v>0.6846</v>
      </c>
      <c r="P77" s="27">
        <f t="shared" si="62"/>
        <v>-0.1027</v>
      </c>
      <c r="Q77" s="27">
        <f>Q$5</f>
        <v>0</v>
      </c>
      <c r="R77" s="27">
        <f t="shared" si="63"/>
        <v>0.014921</v>
      </c>
      <c r="S77" s="147">
        <f t="shared" si="64"/>
        <v>0.69</v>
      </c>
      <c r="V77" s="250">
        <f t="shared" si="68"/>
        <v>0.6896</v>
      </c>
      <c r="W77" s="249">
        <f t="shared" si="69"/>
        <v>0.69</v>
      </c>
      <c r="X77" s="30">
        <f t="shared" si="70"/>
        <v>-0.00039999999999995595</v>
      </c>
      <c r="Y77">
        <f t="shared" si="71"/>
        <v>-0.00039999999999995595</v>
      </c>
    </row>
    <row r="78" spans="3:19" ht="14.25" thickBot="1" thickTop="1">
      <c r="C78" s="171"/>
      <c r="K78" s="30"/>
      <c r="O78" s="18"/>
      <c r="P78" s="18"/>
      <c r="Q78" s="18"/>
      <c r="R78" s="18"/>
      <c r="S78" s="148"/>
    </row>
    <row r="79" spans="1:25" ht="14.25" thickBot="1" thickTop="1">
      <c r="A79" s="259" t="s">
        <v>26</v>
      </c>
      <c r="B79" s="265"/>
      <c r="C79" s="7" t="s">
        <v>13</v>
      </c>
      <c r="D79" s="23">
        <f>'CNTNR COST'!G77</f>
        <v>1.461</v>
      </c>
      <c r="E79" s="11">
        <v>0</v>
      </c>
      <c r="F79" s="11">
        <f>+$F$9</f>
        <v>-0.0639</v>
      </c>
      <c r="G79" s="26">
        <f>ROUND($G$11*4,6)</f>
        <v>0</v>
      </c>
      <c r="H79" s="26">
        <f>ROUND($H$11*4,6)</f>
        <v>-0.0008</v>
      </c>
      <c r="I79" s="11">
        <f>ROUND(SUM(D79:H79),4)</f>
        <v>1.3963</v>
      </c>
      <c r="J79" s="11">
        <f>(I79/(1-$J$5))-I79</f>
        <v>0.05064300518134712</v>
      </c>
      <c r="K79" s="28">
        <f aca="true" t="shared" si="72" ref="K79:K87">ROUND(I79+J79,4)</f>
        <v>1.4469</v>
      </c>
      <c r="L79" s="11">
        <f>ROUND(L$11*4,4)</f>
        <v>-0.5068</v>
      </c>
      <c r="M79" s="11">
        <f>ROUND(M$11*4,4)</f>
        <v>1.0552</v>
      </c>
      <c r="O79" s="26">
        <f aca="true" t="shared" si="73" ref="O79:O87">ROUND(SUM(K79:N79),6)</f>
        <v>1.9953</v>
      </c>
      <c r="P79" s="26">
        <f aca="true" t="shared" si="74" ref="P79:P87">ROUND(O79*(-P$7),4)</f>
        <v>-0.2993</v>
      </c>
      <c r="Q79" s="26">
        <f>4*Q$5</f>
        <v>0</v>
      </c>
      <c r="R79" s="26">
        <f aca="true" t="shared" si="75" ref="R79:R87">ROUND(((Q79+P79+O79)/(1-R$5))-(Q79+P79+O79),6)</f>
        <v>0.043487</v>
      </c>
      <c r="S79" s="145">
        <f aca="true" t="shared" si="76" ref="S79:S87">IF(ROUND(SUM(O79:R79),2)&gt;O79,ROUND(SUM(O79:R79),2),ROUND(O79+0.005,2))</f>
        <v>2</v>
      </c>
      <c r="V79" s="250">
        <f>IF(ROUND(SUM(O79:R79),4)&gt;O79,ROUND(SUM(O79:R79),4),ROUND(O79+0.005,4))</f>
        <v>2.0003</v>
      </c>
      <c r="W79" s="249">
        <f>IF(ROUND(SUM(O79:R79),2)&gt;O79,ROUND(SUM(O79:R79),2),ROUND(O79+0.005,2))</f>
        <v>2</v>
      </c>
      <c r="X79" s="30">
        <f>V79-W79</f>
        <v>0.000300000000000189</v>
      </c>
      <c r="Y79">
        <f t="shared" si="71"/>
        <v>0.000300000000000189</v>
      </c>
    </row>
    <row r="80" spans="1:25" ht="14.25" thickBot="1" thickTop="1">
      <c r="A80" s="260"/>
      <c r="B80" s="266"/>
      <c r="C80" s="7" t="s">
        <v>58</v>
      </c>
      <c r="D80" s="13">
        <f>'CNTNR COST'!G78</f>
        <v>0.7305</v>
      </c>
      <c r="E80" s="12">
        <v>0</v>
      </c>
      <c r="F80" s="12">
        <f>+$F$10</f>
        <v>-0.0419</v>
      </c>
      <c r="G80" s="17">
        <f>ROUND($G$11*2,6)</f>
        <v>0</v>
      </c>
      <c r="H80" s="17">
        <f>ROUND($H$11*2,6)</f>
        <v>-0.0004</v>
      </c>
      <c r="I80" s="12">
        <f aca="true" t="shared" si="77" ref="I80:I99">ROUND(SUM(D80:H80),4)</f>
        <v>0.6882</v>
      </c>
      <c r="J80" s="12">
        <f aca="true" t="shared" si="78" ref="J80:J145">(I80/(1-$J$5))-I80</f>
        <v>0.02496062176165803</v>
      </c>
      <c r="K80" s="16">
        <f t="shared" si="72"/>
        <v>0.7132</v>
      </c>
      <c r="L80" s="12">
        <f>ROUND(L$11*2,4)</f>
        <v>-0.2534</v>
      </c>
      <c r="M80" s="12">
        <f>ROUND(M$11*2,4)</f>
        <v>0.5276</v>
      </c>
      <c r="O80" s="17">
        <f t="shared" si="73"/>
        <v>0.9874</v>
      </c>
      <c r="P80" s="17">
        <f t="shared" si="74"/>
        <v>-0.1481</v>
      </c>
      <c r="Q80" s="252">
        <f>2*Q$5</f>
        <v>0</v>
      </c>
      <c r="R80" s="17">
        <f t="shared" si="75"/>
        <v>0.021521</v>
      </c>
      <c r="S80" s="146">
        <f t="shared" si="76"/>
        <v>0.99</v>
      </c>
      <c r="V80" s="250">
        <f aca="true" t="shared" si="79" ref="V80:V87">IF(ROUND(SUM(O80:R80),4)&gt;O80,ROUND(SUM(O80:R80),4),ROUND(O80+0.005,4))</f>
        <v>0.9924</v>
      </c>
      <c r="W80" s="249">
        <f aca="true" t="shared" si="80" ref="W80:W87">IF(ROUND(SUM(O80:R80),2)&gt;O80,ROUND(SUM(O80:R80),2),ROUND(O80+0.005,2))</f>
        <v>0.99</v>
      </c>
      <c r="X80" s="30">
        <f aca="true" t="shared" si="81" ref="X80:X87">V80-W80</f>
        <v>0.0023999999999999577</v>
      </c>
      <c r="Y80">
        <f t="shared" si="71"/>
        <v>0.0023999999999999577</v>
      </c>
    </row>
    <row r="81" spans="1:25" ht="14.25" thickBot="1" thickTop="1">
      <c r="A81" s="260"/>
      <c r="B81" s="266"/>
      <c r="C81" s="7" t="s">
        <v>15</v>
      </c>
      <c r="D81" s="13">
        <f>'CNTNR COST'!G79</f>
        <v>0.3653</v>
      </c>
      <c r="E81" s="12">
        <v>0</v>
      </c>
      <c r="F81" s="12">
        <f>+$F$11</f>
        <v>0.028</v>
      </c>
      <c r="G81" s="12">
        <f>Energy_Addon</f>
        <v>0</v>
      </c>
      <c r="H81" s="17">
        <f>ROUND(COST_UPDATE_ADJ,4)</f>
        <v>-0.0002</v>
      </c>
      <c r="I81" s="12">
        <f t="shared" si="77"/>
        <v>0.3931</v>
      </c>
      <c r="J81" s="12">
        <f t="shared" si="78"/>
        <v>0.014257512953367912</v>
      </c>
      <c r="K81" s="16">
        <f t="shared" si="72"/>
        <v>0.4074</v>
      </c>
      <c r="L81" s="12">
        <f>$L$11</f>
        <v>-0.1267</v>
      </c>
      <c r="M81" s="12">
        <f>$M$11</f>
        <v>0.2638</v>
      </c>
      <c r="O81" s="17">
        <f t="shared" si="73"/>
        <v>0.5445</v>
      </c>
      <c r="P81" s="17">
        <f t="shared" si="74"/>
        <v>-0.0817</v>
      </c>
      <c r="Q81" s="252">
        <f>Q$5</f>
        <v>0</v>
      </c>
      <c r="R81" s="17">
        <f t="shared" si="75"/>
        <v>0.011867</v>
      </c>
      <c r="S81" s="146">
        <f t="shared" si="76"/>
        <v>0.55</v>
      </c>
      <c r="V81" s="250">
        <f t="shared" si="79"/>
        <v>0.5495</v>
      </c>
      <c r="W81" s="249">
        <f t="shared" si="80"/>
        <v>0.55</v>
      </c>
      <c r="X81" s="30">
        <f t="shared" si="81"/>
        <v>-0.000500000000000056</v>
      </c>
      <c r="Y81">
        <f t="shared" si="71"/>
        <v>-0.000500000000000056</v>
      </c>
    </row>
    <row r="82" spans="1:25" ht="14.25" thickBot="1" thickTop="1">
      <c r="A82" s="260"/>
      <c r="B82" s="266"/>
      <c r="C82" s="7" t="s">
        <v>16</v>
      </c>
      <c r="D82" s="13">
        <f>'CNTNR COST'!G80</f>
        <v>0.1826</v>
      </c>
      <c r="E82" s="12">
        <v>0</v>
      </c>
      <c r="F82" s="12">
        <f>+$F$12</f>
        <v>0.0549</v>
      </c>
      <c r="G82" s="17">
        <f>ROUND($G$11/2,4)</f>
        <v>0</v>
      </c>
      <c r="H82" s="17">
        <f>ROUND($H$11/2,4)</f>
        <v>-0.0001</v>
      </c>
      <c r="I82" s="12">
        <f t="shared" si="77"/>
        <v>0.2374</v>
      </c>
      <c r="J82" s="12">
        <f t="shared" si="78"/>
        <v>0.008610362694300516</v>
      </c>
      <c r="K82" s="16">
        <f t="shared" si="72"/>
        <v>0.246</v>
      </c>
      <c r="L82" s="12">
        <f>ROUND(L$11/2,4)</f>
        <v>-0.0634</v>
      </c>
      <c r="M82" s="12">
        <f>ROUND(M$11/2,4)</f>
        <v>0.1319</v>
      </c>
      <c r="O82" s="17">
        <f t="shared" si="73"/>
        <v>0.3145</v>
      </c>
      <c r="P82" s="17">
        <f t="shared" si="74"/>
        <v>-0.0472</v>
      </c>
      <c r="Q82" s="252">
        <f>ROUND(0.5*Q$5,4)</f>
        <v>0</v>
      </c>
      <c r="R82" s="17">
        <f t="shared" si="75"/>
        <v>0.006854</v>
      </c>
      <c r="S82" s="146">
        <f t="shared" si="76"/>
        <v>0.32</v>
      </c>
      <c r="V82" s="250">
        <f t="shared" si="79"/>
        <v>0.3195</v>
      </c>
      <c r="W82" s="249">
        <f t="shared" si="80"/>
        <v>0.32</v>
      </c>
      <c r="X82" s="30">
        <f t="shared" si="81"/>
        <v>-0.0005000000000000004</v>
      </c>
      <c r="Y82">
        <f t="shared" si="71"/>
        <v>-0.0005000000000000004</v>
      </c>
    </row>
    <row r="83" spans="1:25" ht="14.25" thickBot="1" thickTop="1">
      <c r="A83" s="260"/>
      <c r="B83" s="266"/>
      <c r="C83" s="7" t="s">
        <v>153</v>
      </c>
      <c r="D83" s="13">
        <f>'CNTNR COST'!G81</f>
        <v>0.173</v>
      </c>
      <c r="E83" s="12"/>
      <c r="F83" s="12">
        <f>+$F$13</f>
        <v>0</v>
      </c>
      <c r="G83" s="17">
        <f>ROUND($G$11/32*12,4)</f>
        <v>0</v>
      </c>
      <c r="H83" s="17">
        <f>ROUND($H$11/32*12,4)</f>
        <v>-0.0001</v>
      </c>
      <c r="I83" s="12">
        <f t="shared" si="77"/>
        <v>0.1729</v>
      </c>
      <c r="J83" s="12">
        <f t="shared" si="78"/>
        <v>0.006270984455958556</v>
      </c>
      <c r="K83" s="16">
        <f t="shared" si="72"/>
        <v>0.1792</v>
      </c>
      <c r="L83" s="12">
        <f>ROUND(L$11/32*12,4)</f>
        <v>-0.0475</v>
      </c>
      <c r="M83" s="12">
        <f>ROUND(M$11/32*12,4)</f>
        <v>0.0989</v>
      </c>
      <c r="O83" s="17">
        <f t="shared" si="73"/>
        <v>0.2306</v>
      </c>
      <c r="P83" s="17">
        <f t="shared" si="74"/>
        <v>-0.0346</v>
      </c>
      <c r="Q83" s="252">
        <f>ROUND(12/32*Q$5,4)</f>
        <v>0</v>
      </c>
      <c r="R83" s="17">
        <f t="shared" si="75"/>
        <v>0.005026</v>
      </c>
      <c r="S83" s="146">
        <f t="shared" si="76"/>
        <v>0.24</v>
      </c>
      <c r="V83" s="250">
        <f t="shared" si="79"/>
        <v>0.2356</v>
      </c>
      <c r="W83" s="249">
        <f t="shared" si="80"/>
        <v>0.24</v>
      </c>
      <c r="X83" s="30">
        <f t="shared" si="81"/>
        <v>-0.004399999999999987</v>
      </c>
      <c r="Y83">
        <f t="shared" si="71"/>
        <v>-0.004399999999999987</v>
      </c>
    </row>
    <row r="84" spans="1:25" ht="14.25" thickBot="1" thickTop="1">
      <c r="A84" s="260"/>
      <c r="B84" s="266"/>
      <c r="C84" s="7" t="s">
        <v>59</v>
      </c>
      <c r="D84" s="13">
        <f>'CNTNR COST'!G82</f>
        <v>0.1443</v>
      </c>
      <c r="E84" s="12">
        <v>0</v>
      </c>
      <c r="F84" s="12">
        <f>+$F$14</f>
        <v>0</v>
      </c>
      <c r="G84" s="17">
        <f>ROUND($G$11/32*10,4)</f>
        <v>0</v>
      </c>
      <c r="H84" s="17">
        <f>ROUND($H$11/32*10,4)</f>
        <v>-0.0001</v>
      </c>
      <c r="I84" s="12">
        <f t="shared" si="77"/>
        <v>0.1442</v>
      </c>
      <c r="J84" s="12">
        <f t="shared" si="78"/>
        <v>0.005230051813471498</v>
      </c>
      <c r="K84" s="16">
        <f t="shared" si="72"/>
        <v>0.1494</v>
      </c>
      <c r="L84" s="12">
        <f>ROUND(L$11/32*10,4)</f>
        <v>-0.0396</v>
      </c>
      <c r="M84" s="12">
        <f>ROUND(M$11/32*10,4)</f>
        <v>0.0824</v>
      </c>
      <c r="O84" s="17">
        <f t="shared" si="73"/>
        <v>0.1922</v>
      </c>
      <c r="P84" s="17">
        <f t="shared" si="74"/>
        <v>-0.0288</v>
      </c>
      <c r="Q84" s="252">
        <f>ROUND(10/32*Q$5,4)</f>
        <v>0</v>
      </c>
      <c r="R84" s="17">
        <f t="shared" si="75"/>
        <v>0.00419</v>
      </c>
      <c r="S84" s="146">
        <f t="shared" si="76"/>
        <v>0.2</v>
      </c>
      <c r="V84" s="250">
        <f t="shared" si="79"/>
        <v>0.1972</v>
      </c>
      <c r="W84" s="249">
        <f t="shared" si="80"/>
        <v>0.2</v>
      </c>
      <c r="X84" s="30">
        <f t="shared" si="81"/>
        <v>-0.0028000000000000247</v>
      </c>
      <c r="Y84">
        <f t="shared" si="71"/>
        <v>-0.0028000000000000247</v>
      </c>
    </row>
    <row r="85" spans="1:25" ht="14.25" thickBot="1" thickTop="1">
      <c r="A85" s="260"/>
      <c r="B85" s="266"/>
      <c r="C85" s="7" t="s">
        <v>60</v>
      </c>
      <c r="D85" s="13">
        <f>'CNTNR COST'!G83</f>
        <v>0.0914</v>
      </c>
      <c r="E85" s="12">
        <v>0</v>
      </c>
      <c r="F85" s="12">
        <f>+$F$15</f>
        <v>0.0199</v>
      </c>
      <c r="G85" s="17">
        <f>ROUND($G$11/4,4)</f>
        <v>0</v>
      </c>
      <c r="H85" s="17">
        <f>ROUND($H$11/4,4)</f>
        <v>-0.0001</v>
      </c>
      <c r="I85" s="12">
        <f t="shared" si="77"/>
        <v>0.1112</v>
      </c>
      <c r="J85" s="12">
        <f t="shared" si="78"/>
        <v>0.004033160621761664</v>
      </c>
      <c r="K85" s="16">
        <f t="shared" si="72"/>
        <v>0.1152</v>
      </c>
      <c r="L85" s="12">
        <f>ROUND(L$11/4,4)</f>
        <v>-0.0317</v>
      </c>
      <c r="M85" s="12">
        <f>ROUND(M$11/4,4)</f>
        <v>0.066</v>
      </c>
      <c r="O85" s="17">
        <f t="shared" si="73"/>
        <v>0.1495</v>
      </c>
      <c r="P85" s="17">
        <f t="shared" si="74"/>
        <v>-0.0224</v>
      </c>
      <c r="Q85" s="252">
        <f>ROUND(0.25*Q$5,4)</f>
        <v>0</v>
      </c>
      <c r="R85" s="17">
        <f t="shared" si="75"/>
        <v>0.003259</v>
      </c>
      <c r="S85" s="146">
        <f t="shared" si="76"/>
        <v>0.15</v>
      </c>
      <c r="V85" s="250">
        <f t="shared" si="79"/>
        <v>0.1545</v>
      </c>
      <c r="W85" s="249">
        <f t="shared" si="80"/>
        <v>0.15</v>
      </c>
      <c r="X85" s="30">
        <f t="shared" si="81"/>
        <v>0.004500000000000004</v>
      </c>
      <c r="Y85">
        <f t="shared" si="71"/>
        <v>0.004500000000000004</v>
      </c>
    </row>
    <row r="86" spans="1:25" ht="14.25" thickBot="1" thickTop="1">
      <c r="A86" s="260"/>
      <c r="B86" s="266"/>
      <c r="C86" s="7" t="s">
        <v>61</v>
      </c>
      <c r="D86" s="13">
        <f>'CNTNR COST'!G84</f>
        <v>0.0662</v>
      </c>
      <c r="E86" s="12">
        <v>0</v>
      </c>
      <c r="F86" s="12">
        <f>+$F$16</f>
        <v>0.0271</v>
      </c>
      <c r="G86" s="17">
        <f>ROUND($G$11/8,4)</f>
        <v>0</v>
      </c>
      <c r="H86" s="17">
        <f>ROUND($H$11/8,4)</f>
        <v>0</v>
      </c>
      <c r="I86" s="12">
        <f t="shared" si="77"/>
        <v>0.0933</v>
      </c>
      <c r="J86" s="12">
        <f t="shared" si="78"/>
        <v>0.003383937823834199</v>
      </c>
      <c r="K86" s="16">
        <f t="shared" si="72"/>
        <v>0.0967</v>
      </c>
      <c r="L86" s="12">
        <f>ROUND(L$11/8,4)</f>
        <v>-0.0158</v>
      </c>
      <c r="M86" s="12">
        <f>ROUND(M$11/8,4)</f>
        <v>0.033</v>
      </c>
      <c r="O86" s="17">
        <f t="shared" si="73"/>
        <v>0.1139</v>
      </c>
      <c r="P86" s="17">
        <f t="shared" si="74"/>
        <v>-0.0171</v>
      </c>
      <c r="Q86" s="252">
        <f>ROUND(0.125*Q$5,4)</f>
        <v>0</v>
      </c>
      <c r="R86" s="17">
        <f t="shared" si="75"/>
        <v>0.002482</v>
      </c>
      <c r="S86" s="146">
        <f t="shared" si="76"/>
        <v>0.12</v>
      </c>
      <c r="V86" s="250">
        <f t="shared" si="79"/>
        <v>0.1189</v>
      </c>
      <c r="W86" s="249">
        <f t="shared" si="80"/>
        <v>0.12</v>
      </c>
      <c r="X86" s="30">
        <f t="shared" si="81"/>
        <v>-0.0010999999999999899</v>
      </c>
      <c r="Y86">
        <f t="shared" si="71"/>
        <v>-0.0010999999999999899</v>
      </c>
    </row>
    <row r="87" spans="1:25" ht="14.25" thickBot="1" thickTop="1">
      <c r="A87" s="261"/>
      <c r="B87" s="267"/>
      <c r="C87" s="7" t="s">
        <v>82</v>
      </c>
      <c r="D87" s="24">
        <f>'CNTNR COST'!G85</f>
        <v>0.4191</v>
      </c>
      <c r="E87" s="25">
        <v>0</v>
      </c>
      <c r="F87" s="25">
        <f>+$F$17</f>
        <v>0.1195</v>
      </c>
      <c r="G87" s="27">
        <f>ROUND($G$11,6)</f>
        <v>0</v>
      </c>
      <c r="H87" s="27">
        <f>ROUND($H$11,6)</f>
        <v>-0.0002</v>
      </c>
      <c r="I87" s="25">
        <f t="shared" si="77"/>
        <v>0.5384</v>
      </c>
      <c r="J87" s="25">
        <f t="shared" si="78"/>
        <v>0.01952746113989634</v>
      </c>
      <c r="K87" s="29">
        <f t="shared" si="72"/>
        <v>0.5579</v>
      </c>
      <c r="L87" s="25">
        <f>L$11</f>
        <v>-0.1267</v>
      </c>
      <c r="M87" s="25">
        <f>M$11</f>
        <v>0.2638</v>
      </c>
      <c r="O87" s="27">
        <f t="shared" si="73"/>
        <v>0.695</v>
      </c>
      <c r="P87" s="27">
        <f t="shared" si="74"/>
        <v>-0.1043</v>
      </c>
      <c r="Q87" s="27">
        <f>Q$5</f>
        <v>0</v>
      </c>
      <c r="R87" s="27">
        <f t="shared" si="75"/>
        <v>0.015146</v>
      </c>
      <c r="S87" s="147">
        <f t="shared" si="76"/>
        <v>0.7</v>
      </c>
      <c r="V87" s="250">
        <f t="shared" si="79"/>
        <v>0.7</v>
      </c>
      <c r="W87" s="249">
        <f t="shared" si="80"/>
        <v>0.7</v>
      </c>
      <c r="X87" s="30">
        <f t="shared" si="81"/>
        <v>0</v>
      </c>
      <c r="Y87">
        <f t="shared" si="71"/>
        <v>0</v>
      </c>
    </row>
    <row r="88" spans="1:19" ht="14.25" thickBot="1" thickTop="1">
      <c r="A88" s="174"/>
      <c r="B88" s="175"/>
      <c r="E88" s="176"/>
      <c r="F88" s="169"/>
      <c r="G88" s="181"/>
      <c r="H88" s="167"/>
      <c r="I88" s="169"/>
      <c r="J88" s="169"/>
      <c r="K88" s="168"/>
      <c r="L88" s="169"/>
      <c r="M88" s="169"/>
      <c r="O88" s="167"/>
      <c r="P88" s="167"/>
      <c r="Q88" s="167"/>
      <c r="R88" s="167"/>
      <c r="S88" s="170"/>
    </row>
    <row r="89" spans="1:25" ht="14.25" customHeight="1" thickBot="1" thickTop="1">
      <c r="A89" s="259" t="s">
        <v>135</v>
      </c>
      <c r="B89" s="265"/>
      <c r="C89" s="7" t="s">
        <v>13</v>
      </c>
      <c r="D89" s="23">
        <f>'CNTNR COST'!G87</f>
        <v>2.1904</v>
      </c>
      <c r="E89" s="11">
        <v>0</v>
      </c>
      <c r="F89" s="11">
        <f>+$F$9</f>
        <v>-0.0639</v>
      </c>
      <c r="G89" s="26">
        <f>ROUND($G$11*4,6)</f>
        <v>0</v>
      </c>
      <c r="H89" s="26">
        <f>ROUND($H$11*4,6)</f>
        <v>-0.0008</v>
      </c>
      <c r="I89" s="11">
        <f>ROUND(SUM(D89:H89),4)</f>
        <v>2.1257</v>
      </c>
      <c r="J89" s="11">
        <f>(I89/(1-$J$5))-I89</f>
        <v>0.07709792746114008</v>
      </c>
      <c r="K89" s="28">
        <f aca="true" t="shared" si="82" ref="K89:K97">ROUND(I89+J89,4)</f>
        <v>2.2028</v>
      </c>
      <c r="L89" s="11">
        <f>ROUND(L$11*4,4)</f>
        <v>-0.5068</v>
      </c>
      <c r="M89" s="11">
        <f>ROUND(M$11*4,4)</f>
        <v>1.0552</v>
      </c>
      <c r="O89" s="26">
        <f aca="true" t="shared" si="83" ref="O89:O97">ROUND(SUM(K89:N89),6)</f>
        <v>2.7512</v>
      </c>
      <c r="P89" s="26">
        <f aca="true" t="shared" si="84" ref="P89:P97">ROUND(O89*(-P$7),4)</f>
        <v>-0.4127</v>
      </c>
      <c r="Q89" s="26">
        <f>4*Q$5</f>
        <v>0</v>
      </c>
      <c r="R89" s="26">
        <f aca="true" t="shared" si="85" ref="R89:R97">ROUND(((Q89+P89+O89)/(1-R$5))-(Q89+P89+O89),6)</f>
        <v>0.059962</v>
      </c>
      <c r="S89" s="145">
        <f aca="true" t="shared" si="86" ref="S89:S97">IF(ROUND(SUM(O89:R89),2)&gt;O89,ROUND(SUM(O89:R89),2),ROUND(O89+0.005,2))</f>
        <v>2.76</v>
      </c>
      <c r="V89" s="250">
        <f>IF(ROUND(SUM(O89:R89),4)&gt;O89,ROUND(SUM(O89:R89),4),ROUND(O89+0.005,4))</f>
        <v>2.7562</v>
      </c>
      <c r="W89" s="249">
        <f>IF(ROUND(SUM(O89:R89),2)&gt;O89,ROUND(SUM(O89:R89),2),ROUND(O89+0.005,2))</f>
        <v>2.76</v>
      </c>
      <c r="X89" s="30">
        <f>V89-W89</f>
        <v>-0.0037999999999995815</v>
      </c>
      <c r="Y89">
        <f t="shared" si="71"/>
        <v>-0.0037999999999995815</v>
      </c>
    </row>
    <row r="90" spans="1:25" ht="14.25" thickBot="1" thickTop="1">
      <c r="A90" s="260"/>
      <c r="B90" s="266"/>
      <c r="C90" s="7" t="s">
        <v>58</v>
      </c>
      <c r="D90" s="13">
        <f>'CNTNR COST'!G88</f>
        <v>1.0952</v>
      </c>
      <c r="E90" s="12">
        <v>0</v>
      </c>
      <c r="F90" s="12">
        <f>+$F$10</f>
        <v>-0.0419</v>
      </c>
      <c r="G90" s="17">
        <f>ROUND($G$11*2,6)</f>
        <v>0</v>
      </c>
      <c r="H90" s="17">
        <f>ROUND($H$11*2,6)</f>
        <v>-0.0004</v>
      </c>
      <c r="I90" s="12">
        <f t="shared" si="77"/>
        <v>1.0529</v>
      </c>
      <c r="J90" s="12">
        <f t="shared" si="78"/>
        <v>0.0381880829015544</v>
      </c>
      <c r="K90" s="16">
        <f t="shared" si="82"/>
        <v>1.0911</v>
      </c>
      <c r="L90" s="12">
        <f>ROUND(L$11*2,4)</f>
        <v>-0.2534</v>
      </c>
      <c r="M90" s="12">
        <f>ROUND(M$11*2,4)</f>
        <v>0.5276</v>
      </c>
      <c r="O90" s="17">
        <f t="shared" si="83"/>
        <v>1.3653</v>
      </c>
      <c r="P90" s="17">
        <f t="shared" si="84"/>
        <v>-0.2048</v>
      </c>
      <c r="Q90" s="252">
        <f>2*Q$5</f>
        <v>0</v>
      </c>
      <c r="R90" s="17">
        <f t="shared" si="85"/>
        <v>0.029756</v>
      </c>
      <c r="S90" s="146">
        <f t="shared" si="86"/>
        <v>1.37</v>
      </c>
      <c r="V90" s="250">
        <f aca="true" t="shared" si="87" ref="V90:V97">IF(ROUND(SUM(O90:R90),4)&gt;O90,ROUND(SUM(O90:R90),4),ROUND(O90+0.005,4))</f>
        <v>1.3703</v>
      </c>
      <c r="W90" s="249">
        <f aca="true" t="shared" si="88" ref="W90:W97">IF(ROUND(SUM(O90:R90),2)&gt;O90,ROUND(SUM(O90:R90),2),ROUND(O90+0.005,2))</f>
        <v>1.37</v>
      </c>
      <c r="X90" s="30">
        <f aca="true" t="shared" si="89" ref="X90:X97">V90-W90</f>
        <v>0.00029999999999996696</v>
      </c>
      <c r="Y90">
        <f t="shared" si="71"/>
        <v>0.00029999999999996696</v>
      </c>
    </row>
    <row r="91" spans="1:25" ht="14.25" thickBot="1" thickTop="1">
      <c r="A91" s="260"/>
      <c r="B91" s="266"/>
      <c r="C91" s="7" t="s">
        <v>15</v>
      </c>
      <c r="D91" s="13">
        <f>'CNTNR COST'!G89</f>
        <v>0.5476</v>
      </c>
      <c r="E91" s="12">
        <v>0</v>
      </c>
      <c r="F91" s="12">
        <f>+$F$11</f>
        <v>0.028</v>
      </c>
      <c r="G91" s="12">
        <f>Energy_Addon</f>
        <v>0</v>
      </c>
      <c r="H91" s="17">
        <f>ROUND(COST_UPDATE_ADJ,4)</f>
        <v>-0.0002</v>
      </c>
      <c r="I91" s="12">
        <f t="shared" si="77"/>
        <v>0.5754</v>
      </c>
      <c r="J91" s="12">
        <f t="shared" si="78"/>
        <v>0.02086943005181352</v>
      </c>
      <c r="K91" s="16">
        <f t="shared" si="82"/>
        <v>0.5963</v>
      </c>
      <c r="L91" s="12">
        <f>$L$11</f>
        <v>-0.1267</v>
      </c>
      <c r="M91" s="12">
        <f>$M$11</f>
        <v>0.2638</v>
      </c>
      <c r="O91" s="17">
        <f t="shared" si="83"/>
        <v>0.7334</v>
      </c>
      <c r="P91" s="17">
        <f t="shared" si="84"/>
        <v>-0.11</v>
      </c>
      <c r="Q91" s="252">
        <f>Q$5</f>
        <v>0</v>
      </c>
      <c r="R91" s="17">
        <f t="shared" si="85"/>
        <v>0.015985</v>
      </c>
      <c r="S91" s="146">
        <f t="shared" si="86"/>
        <v>0.74</v>
      </c>
      <c r="V91" s="250">
        <f t="shared" si="87"/>
        <v>0.7384</v>
      </c>
      <c r="W91" s="249">
        <f t="shared" si="88"/>
        <v>0.74</v>
      </c>
      <c r="X91" s="30">
        <f t="shared" si="89"/>
        <v>-0.0016000000000000458</v>
      </c>
      <c r="Y91">
        <f t="shared" si="71"/>
        <v>-0.0016000000000000458</v>
      </c>
    </row>
    <row r="92" spans="1:25" ht="14.25" thickBot="1" thickTop="1">
      <c r="A92" s="260"/>
      <c r="B92" s="266"/>
      <c r="C92" s="7" t="s">
        <v>16</v>
      </c>
      <c r="D92" s="13">
        <f>'CNTNR COST'!G90</f>
        <v>0.2738</v>
      </c>
      <c r="E92" s="12">
        <v>0</v>
      </c>
      <c r="F92" s="12">
        <f>+$F$12</f>
        <v>0.0549</v>
      </c>
      <c r="G92" s="17">
        <f>ROUND($G$11/2,4)</f>
        <v>0</v>
      </c>
      <c r="H92" s="17">
        <f>ROUND($H$11/2,4)</f>
        <v>-0.0001</v>
      </c>
      <c r="I92" s="12">
        <f t="shared" si="77"/>
        <v>0.3286</v>
      </c>
      <c r="J92" s="12">
        <f t="shared" si="78"/>
        <v>0.011918134715025896</v>
      </c>
      <c r="K92" s="16">
        <f t="shared" si="82"/>
        <v>0.3405</v>
      </c>
      <c r="L92" s="12">
        <f>ROUND(L$11/2,4)</f>
        <v>-0.0634</v>
      </c>
      <c r="M92" s="12">
        <f>ROUND(M$11/2,4)</f>
        <v>0.1319</v>
      </c>
      <c r="O92" s="17">
        <f t="shared" si="83"/>
        <v>0.409</v>
      </c>
      <c r="P92" s="17">
        <f t="shared" si="84"/>
        <v>-0.0614</v>
      </c>
      <c r="Q92" s="252">
        <f>ROUND(0.5*Q$5,4)</f>
        <v>0</v>
      </c>
      <c r="R92" s="17">
        <f t="shared" si="85"/>
        <v>0.008913</v>
      </c>
      <c r="S92" s="146">
        <f t="shared" si="86"/>
        <v>0.41</v>
      </c>
      <c r="V92" s="250">
        <f t="shared" si="87"/>
        <v>0.414</v>
      </c>
      <c r="W92" s="249">
        <f t="shared" si="88"/>
        <v>0.41</v>
      </c>
      <c r="X92" s="30">
        <f t="shared" si="89"/>
        <v>0.0040000000000000036</v>
      </c>
      <c r="Y92">
        <f t="shared" si="71"/>
        <v>0.0040000000000000036</v>
      </c>
    </row>
    <row r="93" spans="1:25" ht="14.25" thickBot="1" thickTop="1">
      <c r="A93" s="260"/>
      <c r="B93" s="266"/>
      <c r="C93" s="7" t="s">
        <v>153</v>
      </c>
      <c r="D93" s="13">
        <f>'CNTNR COST'!G91</f>
        <v>0.2414</v>
      </c>
      <c r="E93" s="12"/>
      <c r="F93" s="12">
        <f>+$F$13</f>
        <v>0</v>
      </c>
      <c r="G93" s="17">
        <f>ROUND($G$11/32*12,4)</f>
        <v>0</v>
      </c>
      <c r="H93" s="17">
        <f>ROUND($H$11/32*12,4)</f>
        <v>-0.0001</v>
      </c>
      <c r="I93" s="12">
        <f t="shared" si="77"/>
        <v>0.2413</v>
      </c>
      <c r="J93" s="12">
        <f t="shared" si="78"/>
        <v>0.008751813471502584</v>
      </c>
      <c r="K93" s="16">
        <f t="shared" si="82"/>
        <v>0.2501</v>
      </c>
      <c r="L93" s="12">
        <f>ROUND(L$11/32*12,4)</f>
        <v>-0.0475</v>
      </c>
      <c r="M93" s="12">
        <f>ROUND(M$11/32*12,4)</f>
        <v>0.0989</v>
      </c>
      <c r="O93" s="17">
        <f t="shared" si="83"/>
        <v>0.3015</v>
      </c>
      <c r="P93" s="17">
        <f t="shared" si="84"/>
        <v>-0.0452</v>
      </c>
      <c r="Q93" s="252">
        <f>ROUND(12/32*Q$5,4)</f>
        <v>0</v>
      </c>
      <c r="R93" s="17">
        <f t="shared" si="85"/>
        <v>0.006572</v>
      </c>
      <c r="S93" s="146">
        <f t="shared" si="86"/>
        <v>0.31</v>
      </c>
      <c r="V93" s="250">
        <f t="shared" si="87"/>
        <v>0.3065</v>
      </c>
      <c r="W93" s="249">
        <f t="shared" si="88"/>
        <v>0.31</v>
      </c>
      <c r="X93" s="30">
        <f t="shared" si="89"/>
        <v>-0.003500000000000003</v>
      </c>
      <c r="Y93">
        <f t="shared" si="71"/>
        <v>-0.003500000000000003</v>
      </c>
    </row>
    <row r="94" spans="1:25" ht="14.25" thickBot="1" thickTop="1">
      <c r="A94" s="260"/>
      <c r="B94" s="266"/>
      <c r="C94" s="7" t="s">
        <v>59</v>
      </c>
      <c r="D94" s="13">
        <f>'CNTNR COST'!G92</f>
        <v>0.2012</v>
      </c>
      <c r="E94" s="12">
        <v>0</v>
      </c>
      <c r="F94" s="12">
        <f>+$F$14</f>
        <v>0</v>
      </c>
      <c r="G94" s="17">
        <f>ROUND($G$11/32*10,4)</f>
        <v>0</v>
      </c>
      <c r="H94" s="17">
        <f>ROUND($H$11/32*10,4)</f>
        <v>-0.0001</v>
      </c>
      <c r="I94" s="12">
        <f t="shared" si="77"/>
        <v>0.2011</v>
      </c>
      <c r="J94" s="12">
        <f t="shared" si="78"/>
        <v>0.0072937823834196835</v>
      </c>
      <c r="K94" s="16">
        <f t="shared" si="82"/>
        <v>0.2084</v>
      </c>
      <c r="L94" s="12">
        <f>ROUND(L$11/32*10,4)</f>
        <v>-0.0396</v>
      </c>
      <c r="M94" s="12">
        <f>ROUND(M$11/32*10,4)</f>
        <v>0.0824</v>
      </c>
      <c r="O94" s="17">
        <f t="shared" si="83"/>
        <v>0.2512</v>
      </c>
      <c r="P94" s="17">
        <f t="shared" si="84"/>
        <v>-0.0377</v>
      </c>
      <c r="Q94" s="252">
        <f>ROUND(10/32*Q$5,4)</f>
        <v>0</v>
      </c>
      <c r="R94" s="17">
        <f t="shared" si="85"/>
        <v>0.005474</v>
      </c>
      <c r="S94" s="146">
        <f t="shared" si="86"/>
        <v>0.26</v>
      </c>
      <c r="V94" s="250">
        <f t="shared" si="87"/>
        <v>0.2562</v>
      </c>
      <c r="W94" s="249">
        <f t="shared" si="88"/>
        <v>0.26</v>
      </c>
      <c r="X94" s="30">
        <f t="shared" si="89"/>
        <v>-0.0038000000000000256</v>
      </c>
      <c r="Y94">
        <f t="shared" si="71"/>
        <v>-0.0038000000000000256</v>
      </c>
    </row>
    <row r="95" spans="1:25" ht="14.25" thickBot="1" thickTop="1">
      <c r="A95" s="260"/>
      <c r="B95" s="266"/>
      <c r="C95" s="7" t="s">
        <v>60</v>
      </c>
      <c r="D95" s="13">
        <f>'CNTNR COST'!G93</f>
        <v>0.137</v>
      </c>
      <c r="E95" s="12">
        <v>0</v>
      </c>
      <c r="F95" s="12">
        <f>+$F$15</f>
        <v>0.0199</v>
      </c>
      <c r="G95" s="17">
        <f>ROUND($G$11/4,4)</f>
        <v>0</v>
      </c>
      <c r="H95" s="17">
        <f>ROUND($H$11/4,4)</f>
        <v>-0.0001</v>
      </c>
      <c r="I95" s="12">
        <f t="shared" si="77"/>
        <v>0.1568</v>
      </c>
      <c r="J95" s="12">
        <f t="shared" si="78"/>
        <v>0.005687046632124354</v>
      </c>
      <c r="K95" s="16">
        <f t="shared" si="82"/>
        <v>0.1625</v>
      </c>
      <c r="L95" s="12">
        <f>ROUND(L$11/4,4)</f>
        <v>-0.0317</v>
      </c>
      <c r="M95" s="12">
        <f>ROUND(M$11/4,4)</f>
        <v>0.066</v>
      </c>
      <c r="O95" s="17">
        <f t="shared" si="83"/>
        <v>0.1968</v>
      </c>
      <c r="P95" s="17">
        <f t="shared" si="84"/>
        <v>-0.0295</v>
      </c>
      <c r="Q95" s="252">
        <f>ROUND(0.25*Q$5,4)</f>
        <v>0</v>
      </c>
      <c r="R95" s="17">
        <f t="shared" si="85"/>
        <v>0.00429</v>
      </c>
      <c r="S95" s="146">
        <f t="shared" si="86"/>
        <v>0.2</v>
      </c>
      <c r="V95" s="250">
        <f t="shared" si="87"/>
        <v>0.2018</v>
      </c>
      <c r="W95" s="249">
        <f t="shared" si="88"/>
        <v>0.2</v>
      </c>
      <c r="X95" s="30">
        <f t="shared" si="89"/>
        <v>0.001799999999999996</v>
      </c>
      <c r="Y95">
        <f t="shared" si="71"/>
        <v>0.001799999999999996</v>
      </c>
    </row>
    <row r="96" spans="1:25" ht="14.25" thickBot="1" thickTop="1">
      <c r="A96" s="260"/>
      <c r="B96" s="266"/>
      <c r="C96" s="7" t="s">
        <v>61</v>
      </c>
      <c r="D96" s="13">
        <f>'CNTNR COST'!G94</f>
        <v>0.089</v>
      </c>
      <c r="E96" s="12">
        <v>0</v>
      </c>
      <c r="F96" s="12">
        <f>+$F$16</f>
        <v>0.0271</v>
      </c>
      <c r="G96" s="17">
        <f>ROUND($G$11/8,4)</f>
        <v>0</v>
      </c>
      <c r="H96" s="17">
        <f>ROUND($H$11/8,4)</f>
        <v>0</v>
      </c>
      <c r="I96" s="12">
        <f t="shared" si="77"/>
        <v>0.1161</v>
      </c>
      <c r="J96" s="12">
        <f t="shared" si="78"/>
        <v>0.004210880829015551</v>
      </c>
      <c r="K96" s="16">
        <f t="shared" si="82"/>
        <v>0.1203</v>
      </c>
      <c r="L96" s="12">
        <f>ROUND(L$11/8,4)</f>
        <v>-0.0158</v>
      </c>
      <c r="M96" s="12">
        <f>ROUND(M$11/8,4)</f>
        <v>0.033</v>
      </c>
      <c r="O96" s="17">
        <f t="shared" si="83"/>
        <v>0.1375</v>
      </c>
      <c r="P96" s="17">
        <f t="shared" si="84"/>
        <v>-0.0206</v>
      </c>
      <c r="Q96" s="252">
        <f>ROUND(0.125*Q$5,4)</f>
        <v>0</v>
      </c>
      <c r="R96" s="17">
        <f t="shared" si="85"/>
        <v>0.002997</v>
      </c>
      <c r="S96" s="146">
        <f t="shared" si="86"/>
        <v>0.14</v>
      </c>
      <c r="V96" s="250">
        <f t="shared" si="87"/>
        <v>0.1425</v>
      </c>
      <c r="W96" s="249">
        <f t="shared" si="88"/>
        <v>0.14</v>
      </c>
      <c r="X96" s="30">
        <f t="shared" si="89"/>
        <v>0.0024999999999999745</v>
      </c>
      <c r="Y96">
        <f t="shared" si="71"/>
        <v>0.0024999999999999745</v>
      </c>
    </row>
    <row r="97" spans="1:25" ht="14.25" thickBot="1" thickTop="1">
      <c r="A97" s="261"/>
      <c r="B97" s="267"/>
      <c r="C97" s="7" t="s">
        <v>82</v>
      </c>
      <c r="D97" s="24">
        <f>'CNTNR COST'!G95</f>
        <v>0.6014</v>
      </c>
      <c r="E97" s="25">
        <v>0</v>
      </c>
      <c r="F97" s="25">
        <f>+$F$17</f>
        <v>0.1195</v>
      </c>
      <c r="G97" s="27">
        <f>ROUND($G$11,6)</f>
        <v>0</v>
      </c>
      <c r="H97" s="27">
        <f>ROUND($H$11,6)</f>
        <v>-0.0002</v>
      </c>
      <c r="I97" s="25">
        <f t="shared" si="77"/>
        <v>0.7207</v>
      </c>
      <c r="J97" s="25">
        <f t="shared" si="78"/>
        <v>0.026139378238342004</v>
      </c>
      <c r="K97" s="29">
        <f t="shared" si="82"/>
        <v>0.7468</v>
      </c>
      <c r="L97" s="25">
        <f>L$11</f>
        <v>-0.1267</v>
      </c>
      <c r="M97" s="25">
        <f>M$11</f>
        <v>0.2638</v>
      </c>
      <c r="O97" s="27">
        <f t="shared" si="83"/>
        <v>0.8839</v>
      </c>
      <c r="P97" s="27">
        <f t="shared" si="84"/>
        <v>-0.1326</v>
      </c>
      <c r="Q97" s="27">
        <f>Q$5</f>
        <v>0</v>
      </c>
      <c r="R97" s="27">
        <f t="shared" si="85"/>
        <v>0.019264</v>
      </c>
      <c r="S97" s="147">
        <f t="shared" si="86"/>
        <v>0.89</v>
      </c>
      <c r="V97" s="250">
        <f t="shared" si="87"/>
        <v>0.8889</v>
      </c>
      <c r="W97" s="249">
        <f t="shared" si="88"/>
        <v>0.89</v>
      </c>
      <c r="X97" s="30">
        <f t="shared" si="89"/>
        <v>-0.0010999999999999899</v>
      </c>
      <c r="Y97">
        <f t="shared" si="71"/>
        <v>-0.0010999999999999899</v>
      </c>
    </row>
    <row r="98" spans="1:19" ht="14.25" thickBot="1" thickTop="1">
      <c r="A98" s="172"/>
      <c r="B98" s="173"/>
      <c r="K98" s="30"/>
      <c r="O98" s="18"/>
      <c r="P98" s="18"/>
      <c r="Q98" s="253"/>
      <c r="R98" s="18"/>
      <c r="S98" s="148"/>
    </row>
    <row r="99" spans="1:25" ht="14.25" thickBot="1" thickTop="1">
      <c r="A99" s="259" t="s">
        <v>63</v>
      </c>
      <c r="B99" s="265"/>
      <c r="C99" s="7" t="s">
        <v>58</v>
      </c>
      <c r="D99" s="23">
        <f>'CNTNR COST'!G97</f>
        <v>0.6956</v>
      </c>
      <c r="E99" s="11">
        <f>E100*2</f>
        <v>0.4026</v>
      </c>
      <c r="F99" s="11">
        <f>+$F$10</f>
        <v>-0.0419</v>
      </c>
      <c r="G99" s="17">
        <f>ROUND($G$11*2,6)</f>
        <v>0</v>
      </c>
      <c r="H99" s="26">
        <f>ROUND($H$11*2,6)</f>
        <v>-0.0004</v>
      </c>
      <c r="I99" s="11">
        <f t="shared" si="77"/>
        <v>1.0559</v>
      </c>
      <c r="J99" s="11">
        <f t="shared" si="78"/>
        <v>0.03829689119170987</v>
      </c>
      <c r="K99" s="28">
        <f>ROUND(I99+J99,4)</f>
        <v>1.0942</v>
      </c>
      <c r="L99" s="11">
        <f>ROUND(L$11*2,4)</f>
        <v>-0.2534</v>
      </c>
      <c r="M99" s="11">
        <f>ROUND(M$11*2,4)</f>
        <v>0.5276</v>
      </c>
      <c r="O99" s="26">
        <f aca="true" t="shared" si="90" ref="O99:O109">ROUND(SUM(K99:N99),6)</f>
        <v>1.3684</v>
      </c>
      <c r="P99" s="26">
        <f aca="true" t="shared" si="91" ref="P99:P109">ROUND(O99*(-P$7),4)</f>
        <v>-0.2053</v>
      </c>
      <c r="Q99" s="254">
        <f>2*Q$5</f>
        <v>0</v>
      </c>
      <c r="R99" s="26">
        <f aca="true" t="shared" si="92" ref="R99:R109">ROUND(((Q99+P99+O99)/(1-R$5))-(Q99+P99+O99),6)</f>
        <v>0.029823</v>
      </c>
      <c r="S99" s="145">
        <f aca="true" t="shared" si="93" ref="S99:S109">IF(ROUND(SUM(O99:R99),2)&gt;O99,ROUND(SUM(O99:R99),2),ROUND(O99+0.005,2))</f>
        <v>1.37</v>
      </c>
      <c r="V99" s="250">
        <f>IF(ROUND(SUM(O99:R99),4)&gt;O99,ROUND(SUM(O99:R99),4),ROUND(O99+0.005,4))</f>
        <v>1.3734</v>
      </c>
      <c r="W99" s="249">
        <f>IF(ROUND(SUM(O99:R99),2)&gt;O99,ROUND(SUM(O99:R99),2),ROUND(O99+0.005,2))</f>
        <v>1.37</v>
      </c>
      <c r="X99" s="30">
        <f>V99-W99</f>
        <v>0.0033999999999998476</v>
      </c>
      <c r="Y99">
        <f t="shared" si="71"/>
        <v>0.0033999999999998476</v>
      </c>
    </row>
    <row r="100" spans="1:25" ht="14.25" thickBot="1" thickTop="1">
      <c r="A100" s="260"/>
      <c r="B100" s="266"/>
      <c r="C100" s="7" t="s">
        <v>15</v>
      </c>
      <c r="D100" s="13">
        <f>'CNTNR COST'!G98</f>
        <v>0.3478</v>
      </c>
      <c r="E100" s="12">
        <f>H_AND_H_ADDON</f>
        <v>0.2013</v>
      </c>
      <c r="F100" s="12">
        <f>+$F$11</f>
        <v>0.028</v>
      </c>
      <c r="G100" s="12">
        <f>Energy_Addon</f>
        <v>0</v>
      </c>
      <c r="H100" s="17">
        <f>ROUND(COST_UPDATE_ADJ,4)</f>
        <v>-0.0002</v>
      </c>
      <c r="I100" s="12">
        <f aca="true" t="shared" si="94" ref="I100:I109">ROUND(SUM(D100:H100),4)</f>
        <v>0.5769</v>
      </c>
      <c r="J100" s="12">
        <f t="shared" si="78"/>
        <v>0.020923834196891256</v>
      </c>
      <c r="K100" s="16">
        <f aca="true" t="shared" si="95" ref="K100:K109">ROUND(I100+J100,4)</f>
        <v>0.5978</v>
      </c>
      <c r="L100" s="12">
        <f>$L$11</f>
        <v>-0.1267</v>
      </c>
      <c r="M100" s="12">
        <f>$M$11</f>
        <v>0.2638</v>
      </c>
      <c r="O100" s="17">
        <f t="shared" si="90"/>
        <v>0.7349</v>
      </c>
      <c r="P100" s="17">
        <f t="shared" si="91"/>
        <v>-0.1102</v>
      </c>
      <c r="Q100" s="252">
        <f>Q$5</f>
        <v>0</v>
      </c>
      <c r="R100" s="17">
        <f t="shared" si="92"/>
        <v>0.016018</v>
      </c>
      <c r="S100" s="146">
        <f t="shared" si="93"/>
        <v>0.74</v>
      </c>
      <c r="V100" s="250">
        <f>IF(ROUND(SUM(O100:R100),4)&gt;O100,ROUND(SUM(O100:R100),4),ROUND(O100+0.005,4))</f>
        <v>0.7399</v>
      </c>
      <c r="W100" s="249">
        <f>IF(ROUND(SUM(O100:R100),2)&gt;O100,ROUND(SUM(O100:R100),2),ROUND(O100+0.005,2))</f>
        <v>0.74</v>
      </c>
      <c r="X100" s="30">
        <f aca="true" t="shared" si="96" ref="X100:X105">V100-W100</f>
        <v>-9.999999999998899E-05</v>
      </c>
      <c r="Y100">
        <f t="shared" si="71"/>
        <v>-9.999999999998899E-05</v>
      </c>
    </row>
    <row r="101" spans="1:25" ht="14.25" thickBot="1" thickTop="1">
      <c r="A101" s="260"/>
      <c r="B101" s="266"/>
      <c r="C101" s="7" t="s">
        <v>16</v>
      </c>
      <c r="D101" s="13">
        <f>'CNTNR COST'!G99</f>
        <v>0.1739</v>
      </c>
      <c r="E101" s="12">
        <f>ROUND(E100/2,4)</f>
        <v>0.1007</v>
      </c>
      <c r="F101" s="12">
        <f>+$F$12</f>
        <v>0.0549</v>
      </c>
      <c r="G101" s="17">
        <f>ROUND($G$11/2,4)</f>
        <v>0</v>
      </c>
      <c r="H101" s="17">
        <f>ROUND($H$11/2,4)</f>
        <v>-0.0001</v>
      </c>
      <c r="I101" s="12">
        <f t="shared" si="94"/>
        <v>0.3294</v>
      </c>
      <c r="J101" s="12">
        <f t="shared" si="78"/>
        <v>0.011947150259067396</v>
      </c>
      <c r="K101" s="16">
        <f t="shared" si="95"/>
        <v>0.3413</v>
      </c>
      <c r="L101" s="12">
        <f>ROUND(L$11/2,4)</f>
        <v>-0.0634</v>
      </c>
      <c r="M101" s="12">
        <f>ROUND(M$11/2,4)</f>
        <v>0.1319</v>
      </c>
      <c r="O101" s="17">
        <f t="shared" si="90"/>
        <v>0.4098</v>
      </c>
      <c r="P101" s="17">
        <f t="shared" si="91"/>
        <v>-0.0615</v>
      </c>
      <c r="Q101" s="252">
        <f>ROUND(0.5*Q$5,4)</f>
        <v>0</v>
      </c>
      <c r="R101" s="17">
        <f t="shared" si="92"/>
        <v>0.008931</v>
      </c>
      <c r="S101" s="146">
        <f t="shared" si="93"/>
        <v>0.41</v>
      </c>
      <c r="V101" s="250">
        <f>IF(ROUND(SUM(O101:R101),4)&gt;O101,ROUND(SUM(O101:R101),4),ROUND(O101+0.005,4))</f>
        <v>0.4148</v>
      </c>
      <c r="W101" s="249">
        <f>IF(ROUND(SUM(O101:R101),2)&gt;O101,ROUND(SUM(O101:R101),2),ROUND(O101+0.005,2))</f>
        <v>0.41</v>
      </c>
      <c r="X101" s="30">
        <f t="shared" si="96"/>
        <v>0.0048000000000000265</v>
      </c>
      <c r="Y101">
        <f t="shared" si="71"/>
        <v>0.0048000000000000265</v>
      </c>
    </row>
    <row r="102" spans="1:25" ht="14.25" thickBot="1" thickTop="1">
      <c r="A102" s="260"/>
      <c r="B102" s="266"/>
      <c r="C102" s="7" t="s">
        <v>153</v>
      </c>
      <c r="D102" s="13">
        <f>'CNTNR COST'!G100</f>
        <v>0.1665</v>
      </c>
      <c r="E102" s="12">
        <f>ROUND(E100/32*12,4)</f>
        <v>0.0755</v>
      </c>
      <c r="F102" s="12">
        <f>+$F$13</f>
        <v>0</v>
      </c>
      <c r="G102" s="17">
        <f>ROUND($G$11/32*12,4)</f>
        <v>0</v>
      </c>
      <c r="H102" s="17">
        <f>ROUND($H$11/32*12,4)</f>
        <v>-0.0001</v>
      </c>
      <c r="I102" s="12">
        <f t="shared" si="94"/>
        <v>0.2419</v>
      </c>
      <c r="J102" s="12">
        <f t="shared" si="78"/>
        <v>0.008773575129533695</v>
      </c>
      <c r="K102" s="16">
        <f t="shared" si="95"/>
        <v>0.2507</v>
      </c>
      <c r="L102" s="12">
        <f>ROUND(L$11/32*12,4)</f>
        <v>-0.0475</v>
      </c>
      <c r="M102" s="12">
        <f>ROUND(M$11/32*12,4)</f>
        <v>0.0989</v>
      </c>
      <c r="O102" s="17">
        <f t="shared" si="90"/>
        <v>0.3021</v>
      </c>
      <c r="P102" s="17">
        <f t="shared" si="91"/>
        <v>-0.0453</v>
      </c>
      <c r="Q102" s="252">
        <f>ROUND(12/32*Q$5,4)</f>
        <v>0</v>
      </c>
      <c r="R102" s="17">
        <f t="shared" si="92"/>
        <v>0.006585</v>
      </c>
      <c r="S102" s="146">
        <f t="shared" si="93"/>
        <v>0.31</v>
      </c>
      <c r="V102" s="250">
        <f aca="true" t="shared" si="97" ref="V102:V109">IF(ROUND(SUM(O102:R102),4)&gt;O102,ROUND(SUM(O102:R102),4),ROUND(O102+0.005,4))</f>
        <v>0.3071</v>
      </c>
      <c r="W102" s="249">
        <f aca="true" t="shared" si="98" ref="W102:W109">IF(ROUND(SUM(O102:R102),2)&gt;O102,ROUND(SUM(O102:R102),2),ROUND(O102+0.005,2))</f>
        <v>0.31</v>
      </c>
      <c r="X102" s="30">
        <f t="shared" si="96"/>
        <v>-0.0029000000000000137</v>
      </c>
      <c r="Y102">
        <f t="shared" si="71"/>
        <v>-0.0029000000000000137</v>
      </c>
    </row>
    <row r="103" spans="1:25" ht="14.25" thickBot="1" thickTop="1">
      <c r="A103" s="260"/>
      <c r="B103" s="266"/>
      <c r="C103" s="7" t="s">
        <v>59</v>
      </c>
      <c r="D103" s="13">
        <f>'CNTNR COST'!G101</f>
        <v>0.1388</v>
      </c>
      <c r="E103" s="12">
        <f>ROUND(E100/32*10,4)</f>
        <v>0.0629</v>
      </c>
      <c r="F103" s="12">
        <f>+$F$14</f>
        <v>0</v>
      </c>
      <c r="G103" s="17">
        <f>ROUND($G$11/32*10,4)</f>
        <v>0</v>
      </c>
      <c r="H103" s="17">
        <f>ROUND($H$11/32*10,4)</f>
        <v>-0.0001</v>
      </c>
      <c r="I103" s="12">
        <f t="shared" si="94"/>
        <v>0.2016</v>
      </c>
      <c r="J103" s="12">
        <f t="shared" si="78"/>
        <v>0.007311917098445614</v>
      </c>
      <c r="K103" s="16">
        <f t="shared" si="95"/>
        <v>0.2089</v>
      </c>
      <c r="L103" s="12">
        <f>ROUND(L$11/32*10,4)</f>
        <v>-0.0396</v>
      </c>
      <c r="M103" s="12">
        <f>ROUND(M$11/32*10,4)</f>
        <v>0.0824</v>
      </c>
      <c r="O103" s="17">
        <f t="shared" si="90"/>
        <v>0.2517</v>
      </c>
      <c r="P103" s="17">
        <f t="shared" si="91"/>
        <v>-0.0378</v>
      </c>
      <c r="Q103" s="252">
        <f>ROUND(10/32*Q$5,4)</f>
        <v>0</v>
      </c>
      <c r="R103" s="17">
        <f t="shared" si="92"/>
        <v>0.005485</v>
      </c>
      <c r="S103" s="146">
        <f t="shared" si="93"/>
        <v>0.26</v>
      </c>
      <c r="V103" s="250">
        <f t="shared" si="97"/>
        <v>0.2567</v>
      </c>
      <c r="W103" s="249">
        <f t="shared" si="98"/>
        <v>0.26</v>
      </c>
      <c r="X103" s="30">
        <f t="shared" si="96"/>
        <v>-0.003300000000000025</v>
      </c>
      <c r="Y103">
        <f t="shared" si="71"/>
        <v>-0.003300000000000025</v>
      </c>
    </row>
    <row r="104" spans="1:25" ht="14.25" thickBot="1" thickTop="1">
      <c r="A104" s="260"/>
      <c r="B104" s="266"/>
      <c r="C104" s="7" t="s">
        <v>60</v>
      </c>
      <c r="D104" s="13">
        <f>'CNTNR COST'!G102</f>
        <v>0.087</v>
      </c>
      <c r="E104" s="12">
        <f>ROUND(E100/4,4)</f>
        <v>0.0503</v>
      </c>
      <c r="F104" s="12">
        <f>+$F$15</f>
        <v>0.0199</v>
      </c>
      <c r="G104" s="17">
        <f>ROUND($G$11/4,4)</f>
        <v>0</v>
      </c>
      <c r="H104" s="17">
        <f>ROUND($H$11/4,4)</f>
        <v>-0.0001</v>
      </c>
      <c r="I104" s="12">
        <f t="shared" si="94"/>
        <v>0.1571</v>
      </c>
      <c r="J104" s="12">
        <f t="shared" si="78"/>
        <v>0.005697927461139896</v>
      </c>
      <c r="K104" s="16">
        <f t="shared" si="95"/>
        <v>0.1628</v>
      </c>
      <c r="L104" s="12">
        <f>ROUND(L$11/4,4)</f>
        <v>-0.0317</v>
      </c>
      <c r="M104" s="12">
        <f>ROUND(M$11/4,4)</f>
        <v>0.066</v>
      </c>
      <c r="O104" s="17">
        <f t="shared" si="90"/>
        <v>0.1971</v>
      </c>
      <c r="P104" s="17">
        <f t="shared" si="91"/>
        <v>-0.0296</v>
      </c>
      <c r="Q104" s="252">
        <f>ROUND(0.25*Q$5,4)</f>
        <v>0</v>
      </c>
      <c r="R104" s="17">
        <f t="shared" si="92"/>
        <v>0.004295</v>
      </c>
      <c r="S104" s="146">
        <f t="shared" si="93"/>
        <v>0.2</v>
      </c>
      <c r="V104" s="250">
        <f t="shared" si="97"/>
        <v>0.2021</v>
      </c>
      <c r="W104" s="249">
        <f t="shared" si="98"/>
        <v>0.2</v>
      </c>
      <c r="X104" s="30">
        <f t="shared" si="96"/>
        <v>0.0020999999999999908</v>
      </c>
      <c r="Y104">
        <f t="shared" si="71"/>
        <v>0.0020999999999999908</v>
      </c>
    </row>
    <row r="105" spans="1:25" ht="14.25" thickBot="1" thickTop="1">
      <c r="A105" s="260"/>
      <c r="B105" s="266"/>
      <c r="C105" s="7" t="s">
        <v>61</v>
      </c>
      <c r="D105" s="13">
        <f>'CNTNR COST'!G103</f>
        <v>0.064</v>
      </c>
      <c r="E105" s="12">
        <f>ROUND(E100/8,4)</f>
        <v>0.0252</v>
      </c>
      <c r="F105" s="12">
        <f>+$F$16</f>
        <v>0.0271</v>
      </c>
      <c r="G105" s="17">
        <f>ROUND($G$11/8,4)</f>
        <v>0</v>
      </c>
      <c r="H105" s="17">
        <f>ROUND($H$11/8,4)</f>
        <v>0</v>
      </c>
      <c r="I105" s="12">
        <f t="shared" si="94"/>
        <v>0.1163</v>
      </c>
      <c r="J105" s="12">
        <f t="shared" si="78"/>
        <v>0.004218134715025912</v>
      </c>
      <c r="K105" s="16">
        <f t="shared" si="95"/>
        <v>0.1205</v>
      </c>
      <c r="L105" s="12">
        <f>ROUND(L$11/8,4)</f>
        <v>-0.0158</v>
      </c>
      <c r="M105" s="12">
        <f>ROUND(M$11/8,4)</f>
        <v>0.033</v>
      </c>
      <c r="O105" s="17">
        <f t="shared" si="90"/>
        <v>0.1377</v>
      </c>
      <c r="P105" s="17">
        <f t="shared" si="91"/>
        <v>-0.0207</v>
      </c>
      <c r="Q105" s="252">
        <f>ROUND(0.125*Q$5,4)</f>
        <v>0</v>
      </c>
      <c r="R105" s="17">
        <f t="shared" si="92"/>
        <v>0.003</v>
      </c>
      <c r="S105" s="146">
        <f t="shared" si="93"/>
        <v>0.14</v>
      </c>
      <c r="V105" s="250">
        <f t="shared" si="97"/>
        <v>0.1427</v>
      </c>
      <c r="W105" s="249">
        <f t="shared" si="98"/>
        <v>0.14</v>
      </c>
      <c r="X105" s="30">
        <f t="shared" si="96"/>
        <v>0.00269999999999998</v>
      </c>
      <c r="Y105">
        <f t="shared" si="71"/>
        <v>0.00269999999999998</v>
      </c>
    </row>
    <row r="106" spans="1:25" ht="14.25" thickBot="1" thickTop="1">
      <c r="A106" s="260"/>
      <c r="B106" s="266"/>
      <c r="C106" s="7" t="s">
        <v>82</v>
      </c>
      <c r="D106" s="13">
        <f>'CNTNR COST'!G104</f>
        <v>0.4016</v>
      </c>
      <c r="E106" s="12">
        <f>E100</f>
        <v>0.2013</v>
      </c>
      <c r="F106" s="12">
        <f>+$F$17</f>
        <v>0.1195</v>
      </c>
      <c r="G106" s="17">
        <f>ROUND($G$11,6)</f>
        <v>0</v>
      </c>
      <c r="H106" s="17">
        <f>ROUND($H$11,6)</f>
        <v>-0.0002</v>
      </c>
      <c r="I106" s="12">
        <f t="shared" si="94"/>
        <v>0.7222</v>
      </c>
      <c r="J106" s="12">
        <f t="shared" si="78"/>
        <v>0.02619378238341974</v>
      </c>
      <c r="K106" s="16">
        <f t="shared" si="95"/>
        <v>0.7484</v>
      </c>
      <c r="L106" s="12">
        <f>L$11</f>
        <v>-0.1267</v>
      </c>
      <c r="M106" s="12">
        <f>M$11</f>
        <v>0.2638</v>
      </c>
      <c r="O106" s="17">
        <f t="shared" si="90"/>
        <v>0.8855</v>
      </c>
      <c r="P106" s="17">
        <f t="shared" si="91"/>
        <v>-0.1328</v>
      </c>
      <c r="Q106" s="17">
        <f>Q$5</f>
        <v>0</v>
      </c>
      <c r="R106" s="17">
        <f t="shared" si="92"/>
        <v>0.0193</v>
      </c>
      <c r="S106" s="146">
        <f t="shared" si="93"/>
        <v>0.89</v>
      </c>
      <c r="V106" s="250">
        <f t="shared" si="97"/>
        <v>0.8905</v>
      </c>
      <c r="W106" s="249">
        <f t="shared" si="98"/>
        <v>0.89</v>
      </c>
      <c r="X106" s="30">
        <f>V106-W106</f>
        <v>0.0004999999999999449</v>
      </c>
      <c r="Y106">
        <f t="shared" si="71"/>
        <v>0.0004999999999999449</v>
      </c>
    </row>
    <row r="107" spans="1:25" ht="14.25" thickBot="1" thickTop="1">
      <c r="A107" s="260"/>
      <c r="B107" s="266"/>
      <c r="C107" s="7" t="s">
        <v>64</v>
      </c>
      <c r="D107" s="13">
        <f>'CNTNR COST'!G105</f>
        <v>0.0041</v>
      </c>
      <c r="E107" s="12">
        <f>ROUND(E108/4*3,4)</f>
        <v>0.01</v>
      </c>
      <c r="F107" s="12"/>
      <c r="G107" s="183">
        <f>ROUND(G100/32*3/8,4)</f>
        <v>0</v>
      </c>
      <c r="H107" s="12">
        <f>ROUND(H100/32*3/8,4)</f>
        <v>0</v>
      </c>
      <c r="I107" s="12">
        <f t="shared" si="94"/>
        <v>0.0141</v>
      </c>
      <c r="J107" s="12">
        <f>ROUND((I107/(1-$J$5))-I107,4)</f>
        <v>0.0005</v>
      </c>
      <c r="K107" s="16">
        <f t="shared" si="95"/>
        <v>0.0146</v>
      </c>
      <c r="L107" s="12">
        <f>ROUND(+L105/32*3,4)</f>
        <v>-0.0015</v>
      </c>
      <c r="M107" s="12">
        <f>ROUND(+M105/32*3,4)</f>
        <v>0.0031</v>
      </c>
      <c r="O107" s="17">
        <f t="shared" si="90"/>
        <v>0.0162</v>
      </c>
      <c r="P107" s="17">
        <f t="shared" si="91"/>
        <v>-0.0024</v>
      </c>
      <c r="Q107" s="17">
        <f>ROUND(3*Q$5/256,4)</f>
        <v>0</v>
      </c>
      <c r="R107" s="17">
        <f t="shared" si="92"/>
        <v>0.000354</v>
      </c>
      <c r="S107" s="146">
        <f t="shared" si="93"/>
        <v>0.02</v>
      </c>
      <c r="V107" s="250">
        <f t="shared" si="97"/>
        <v>0.0212</v>
      </c>
      <c r="W107" s="249">
        <f t="shared" si="98"/>
        <v>0.02</v>
      </c>
      <c r="X107" s="30">
        <f>V107-W107</f>
        <v>0.0011999999999999997</v>
      </c>
      <c r="Y107">
        <f t="shared" si="71"/>
        <v>0.0011999999999999997</v>
      </c>
    </row>
    <row r="108" spans="1:25" ht="14.25" thickBot="1" thickTop="1">
      <c r="A108" s="271"/>
      <c r="B108" s="272"/>
      <c r="C108" s="7" t="s">
        <v>65</v>
      </c>
      <c r="D108" s="13">
        <f>'CNTNR COST'!G106</f>
        <v>0.0054</v>
      </c>
      <c r="E108" s="12">
        <f>CREAMER_ADDON/2</f>
        <v>0.0133</v>
      </c>
      <c r="F108" s="12"/>
      <c r="G108" s="12">
        <f>ROUND(G100/64,4)</f>
        <v>0</v>
      </c>
      <c r="H108" s="12">
        <f>ROUND(H100/64,4)</f>
        <v>0</v>
      </c>
      <c r="I108" s="12">
        <f t="shared" si="94"/>
        <v>0.0187</v>
      </c>
      <c r="J108" s="12">
        <f t="shared" si="78"/>
        <v>0.0006782383419689127</v>
      </c>
      <c r="K108" s="16">
        <f t="shared" si="95"/>
        <v>0.0194</v>
      </c>
      <c r="L108" s="12">
        <f>ROUND(+L105/8,4)</f>
        <v>-0.002</v>
      </c>
      <c r="M108" s="12">
        <f>ROUND(+M105/8,4)</f>
        <v>0.0041</v>
      </c>
      <c r="O108" s="17">
        <f t="shared" si="90"/>
        <v>0.0215</v>
      </c>
      <c r="P108" s="255">
        <f t="shared" si="91"/>
        <v>-0.0032</v>
      </c>
      <c r="Q108" s="17">
        <f>ROUND(Q$5/64,4)</f>
        <v>0</v>
      </c>
      <c r="R108" s="17">
        <f t="shared" si="92"/>
        <v>0.000469</v>
      </c>
      <c r="S108" s="146">
        <f t="shared" si="93"/>
        <v>0.03</v>
      </c>
      <c r="V108" s="250">
        <f t="shared" si="97"/>
        <v>0.0265</v>
      </c>
      <c r="W108" s="249">
        <f t="shared" si="98"/>
        <v>0.03</v>
      </c>
      <c r="X108" s="30">
        <f>V108-W108</f>
        <v>-0.0034999999999999996</v>
      </c>
      <c r="Y108">
        <f t="shared" si="71"/>
        <v>-0.0034999999999999996</v>
      </c>
    </row>
    <row r="109" spans="1:25" ht="14.25" thickBot="1" thickTop="1">
      <c r="A109" s="273"/>
      <c r="B109" s="274"/>
      <c r="C109" s="7" t="s">
        <v>66</v>
      </c>
      <c r="D109" s="24">
        <f>'CNTNR COST'!G107</f>
        <v>0.0082</v>
      </c>
      <c r="E109" s="25">
        <f>ROUND(E108/2*3,4)</f>
        <v>0.02</v>
      </c>
      <c r="F109" s="25"/>
      <c r="G109" s="25">
        <f>ROUND(G101/64*3,4)</f>
        <v>0</v>
      </c>
      <c r="H109" s="25">
        <f>ROUND(H101/64*3,4)</f>
        <v>0</v>
      </c>
      <c r="I109" s="25">
        <f t="shared" si="94"/>
        <v>0.0282</v>
      </c>
      <c r="J109" s="25">
        <f t="shared" si="78"/>
        <v>0.0010227979274611415</v>
      </c>
      <c r="K109" s="29">
        <f t="shared" si="95"/>
        <v>0.0292</v>
      </c>
      <c r="L109" s="25">
        <f>+L108/2*3</f>
        <v>-0.003</v>
      </c>
      <c r="M109" s="25">
        <f>ROUND(+M100/128*3,4)</f>
        <v>0.0062</v>
      </c>
      <c r="O109" s="27">
        <f t="shared" si="90"/>
        <v>0.0324</v>
      </c>
      <c r="P109" s="256">
        <f t="shared" si="91"/>
        <v>-0.0049</v>
      </c>
      <c r="Q109" s="257">
        <f>ROUND(3*Q$5/128,4)</f>
        <v>0</v>
      </c>
      <c r="R109" s="27">
        <f t="shared" si="92"/>
        <v>0.000705</v>
      </c>
      <c r="S109" s="147">
        <f t="shared" si="93"/>
        <v>0.04</v>
      </c>
      <c r="V109" s="250">
        <f t="shared" si="97"/>
        <v>0.0374</v>
      </c>
      <c r="W109" s="249">
        <f t="shared" si="98"/>
        <v>0.04</v>
      </c>
      <c r="X109" s="30">
        <f>V109-W109</f>
        <v>-0.002599999999999998</v>
      </c>
      <c r="Y109">
        <f t="shared" si="71"/>
        <v>-0.002599999999999998</v>
      </c>
    </row>
    <row r="110" spans="11:24" ht="14.25" thickBot="1" thickTop="1">
      <c r="K110" s="30"/>
      <c r="O110" s="18"/>
      <c r="P110" s="18"/>
      <c r="Q110" s="253"/>
      <c r="R110" s="18"/>
      <c r="S110" s="148"/>
      <c r="X110" s="30"/>
    </row>
    <row r="111" spans="1:25" ht="14.25" thickBot="1" thickTop="1">
      <c r="A111" s="259" t="s">
        <v>142</v>
      </c>
      <c r="B111" s="262" t="s">
        <v>143</v>
      </c>
      <c r="C111" s="7" t="s">
        <v>58</v>
      </c>
      <c r="D111" s="23">
        <f>'CNTNR COST'!G109</f>
        <v>0.6956</v>
      </c>
      <c r="E111" s="11">
        <f>E112*2</f>
        <v>0.404</v>
      </c>
      <c r="F111" s="11">
        <f>+$F$10</f>
        <v>-0.0419</v>
      </c>
      <c r="G111" s="17">
        <f>ROUND($G$11*2,6)</f>
        <v>0</v>
      </c>
      <c r="H111" s="26">
        <f>ROUND($H$11*2,6)</f>
        <v>-0.0004</v>
      </c>
      <c r="I111" s="11">
        <f>ROUND(SUM(D111:H111),4)</f>
        <v>1.0573</v>
      </c>
      <c r="J111" s="11">
        <f t="shared" si="78"/>
        <v>0.03834766839378245</v>
      </c>
      <c r="K111" s="28">
        <f>ROUND(I111+J111,4)</f>
        <v>1.0956</v>
      </c>
      <c r="L111" s="11">
        <f>ROUND(L$11*2,4)</f>
        <v>-0.2534</v>
      </c>
      <c r="M111" s="11">
        <f>ROUND(M$11*2,4)</f>
        <v>0.5276</v>
      </c>
      <c r="O111" s="26">
        <f aca="true" t="shared" si="99" ref="O111:O118">ROUND(SUM(K111:N111),6)</f>
        <v>1.3698</v>
      </c>
      <c r="P111" s="26">
        <f aca="true" t="shared" si="100" ref="P111:P118">ROUND(O111*(-P$7),4)</f>
        <v>-0.2055</v>
      </c>
      <c r="Q111" s="254">
        <f>2*Q$5</f>
        <v>0</v>
      </c>
      <c r="R111" s="26">
        <f aca="true" t="shared" si="101" ref="R111:R118">ROUND(((Q111+P111+O111)/(1-R$5))-(Q111+P111+O111),6)</f>
        <v>0.029854</v>
      </c>
      <c r="S111" s="145">
        <f aca="true" t="shared" si="102" ref="S111:S118">IF(ROUND(SUM(O111:R111),2)&gt;O111,ROUND(SUM(O111:R111),2),ROUND(O111+0.005,2))</f>
        <v>1.37</v>
      </c>
      <c r="V111" s="250">
        <f>IF(ROUND(SUM(O111:R111),4)&gt;O111,ROUND(SUM(O111:R111),4),ROUND(O111+0.005,4))</f>
        <v>1.3748</v>
      </c>
      <c r="W111" s="249">
        <f>IF(ROUND(SUM(O111:R111),2)&gt;O111,ROUND(SUM(O111:R111),2),ROUND(O111+0.005,2))</f>
        <v>1.37</v>
      </c>
      <c r="X111" s="30">
        <f aca="true" t="shared" si="103" ref="X111:X118">V111-W111</f>
        <v>0.0047999999999999154</v>
      </c>
      <c r="Y111">
        <f t="shared" si="71"/>
        <v>0.0047999999999999154</v>
      </c>
    </row>
    <row r="112" spans="1:25" ht="14.25" thickBot="1" thickTop="1">
      <c r="A112" s="260"/>
      <c r="B112" s="263"/>
      <c r="C112" s="7" t="s">
        <v>15</v>
      </c>
      <c r="D112" s="13">
        <f>'CNTNR COST'!G110</f>
        <v>0.3478</v>
      </c>
      <c r="E112" s="12">
        <f>CREAM_ADDON</f>
        <v>0.202</v>
      </c>
      <c r="F112" s="12">
        <f>+$F$11</f>
        <v>0.028</v>
      </c>
      <c r="G112" s="12">
        <f>Energy_Addon</f>
        <v>0</v>
      </c>
      <c r="H112" s="17">
        <f>ROUND(COST_UPDATE_ADJ,4)</f>
        <v>-0.0002</v>
      </c>
      <c r="I112" s="12">
        <f aca="true" t="shared" si="104" ref="I112:I118">ROUND(SUM(D112:H112),4)</f>
        <v>0.5776</v>
      </c>
      <c r="J112" s="12">
        <f t="shared" si="78"/>
        <v>0.020949222797927436</v>
      </c>
      <c r="K112" s="16">
        <f aca="true" t="shared" si="105" ref="K112:K118">ROUND(I112+J112,4)</f>
        <v>0.5985</v>
      </c>
      <c r="L112" s="12">
        <f>$L$11</f>
        <v>-0.1267</v>
      </c>
      <c r="M112" s="12">
        <f>$M$11</f>
        <v>0.2638</v>
      </c>
      <c r="O112" s="17">
        <f t="shared" si="99"/>
        <v>0.7356</v>
      </c>
      <c r="P112" s="17">
        <f t="shared" si="100"/>
        <v>-0.1103</v>
      </c>
      <c r="Q112" s="252">
        <f>Q$5</f>
        <v>0</v>
      </c>
      <c r="R112" s="17">
        <f t="shared" si="101"/>
        <v>0.016033</v>
      </c>
      <c r="S112" s="146">
        <f t="shared" si="102"/>
        <v>0.74</v>
      </c>
      <c r="V112" s="250">
        <f aca="true" t="shared" si="106" ref="V112:V118">IF(ROUND(SUM(O112:R112),4)&gt;O112,ROUND(SUM(O112:R112),4),ROUND(O112+0.005,4))</f>
        <v>0.7406</v>
      </c>
      <c r="W112" s="249">
        <f aca="true" t="shared" si="107" ref="W112:W118">IF(ROUND(SUM(O112:R112),2)&gt;O112,ROUND(SUM(O112:R112),2),ROUND(O112+0.005,2))</f>
        <v>0.74</v>
      </c>
      <c r="X112" s="30">
        <f t="shared" si="103"/>
        <v>0.0006000000000000449</v>
      </c>
      <c r="Y112">
        <f t="shared" si="71"/>
        <v>0.0006000000000000449</v>
      </c>
    </row>
    <row r="113" spans="1:25" ht="14.25" thickBot="1" thickTop="1">
      <c r="A113" s="260"/>
      <c r="B113" s="263"/>
      <c r="C113" s="7" t="s">
        <v>16</v>
      </c>
      <c r="D113" s="13">
        <f>'CNTNR COST'!G111</f>
        <v>0.1739</v>
      </c>
      <c r="E113" s="12">
        <f>E112/2</f>
        <v>0.101</v>
      </c>
      <c r="F113" s="12">
        <f>+$F$12</f>
        <v>0.0549</v>
      </c>
      <c r="G113" s="17">
        <f>ROUND($G$11/2,4)</f>
        <v>0</v>
      </c>
      <c r="H113" s="17">
        <f>ROUND($H$11/2,4)</f>
        <v>-0.0001</v>
      </c>
      <c r="I113" s="12">
        <f t="shared" si="104"/>
        <v>0.3297</v>
      </c>
      <c r="J113" s="12">
        <f t="shared" si="78"/>
        <v>0.01195803108808291</v>
      </c>
      <c r="K113" s="16">
        <f t="shared" si="105"/>
        <v>0.3417</v>
      </c>
      <c r="L113" s="12">
        <f>ROUND(L$11/2,4)</f>
        <v>-0.0634</v>
      </c>
      <c r="M113" s="12">
        <f>ROUND(M$11/2,4)</f>
        <v>0.1319</v>
      </c>
      <c r="O113" s="17">
        <f t="shared" si="99"/>
        <v>0.4102</v>
      </c>
      <c r="P113" s="17">
        <f t="shared" si="100"/>
        <v>-0.0615</v>
      </c>
      <c r="Q113" s="252">
        <f>ROUND(0.5*Q$5,4)</f>
        <v>0</v>
      </c>
      <c r="R113" s="17">
        <f t="shared" si="101"/>
        <v>0.008941</v>
      </c>
      <c r="S113" s="146">
        <f t="shared" si="102"/>
        <v>0.42</v>
      </c>
      <c r="V113" s="250">
        <f t="shared" si="106"/>
        <v>0.4152</v>
      </c>
      <c r="W113" s="249">
        <f t="shared" si="107"/>
        <v>0.42</v>
      </c>
      <c r="X113" s="30">
        <f t="shared" si="103"/>
        <v>-0.004799999999999971</v>
      </c>
      <c r="Y113">
        <f t="shared" si="71"/>
        <v>-0.004799999999999971</v>
      </c>
    </row>
    <row r="114" spans="1:25" ht="14.25" thickBot="1" thickTop="1">
      <c r="A114" s="260"/>
      <c r="B114" s="263"/>
      <c r="C114" s="7" t="s">
        <v>153</v>
      </c>
      <c r="D114" s="13">
        <f>'CNTNR COST'!G112</f>
        <v>0.1665</v>
      </c>
      <c r="E114" s="12">
        <f>ROUND(E112/32*12,4)</f>
        <v>0.0758</v>
      </c>
      <c r="F114" s="12">
        <f>+$F$13</f>
        <v>0</v>
      </c>
      <c r="G114" s="17">
        <f>ROUND($G$11/32*12,4)</f>
        <v>0</v>
      </c>
      <c r="H114" s="17">
        <f>ROUND($H$11/32*12,4)</f>
        <v>-0.0001</v>
      </c>
      <c r="I114" s="12">
        <f t="shared" si="104"/>
        <v>0.2422</v>
      </c>
      <c r="J114" s="12">
        <f t="shared" si="78"/>
        <v>0.008784455958549237</v>
      </c>
      <c r="K114" s="16">
        <f t="shared" si="105"/>
        <v>0.251</v>
      </c>
      <c r="L114" s="12">
        <f>ROUND(L$11/32*12,4)</f>
        <v>-0.0475</v>
      </c>
      <c r="M114" s="12">
        <f>ROUND(M$11/32*12,4)</f>
        <v>0.0989</v>
      </c>
      <c r="O114" s="17">
        <f t="shared" si="99"/>
        <v>0.3024</v>
      </c>
      <c r="P114" s="17">
        <f t="shared" si="100"/>
        <v>-0.0454</v>
      </c>
      <c r="Q114" s="252">
        <f>ROUND(12/32*Q$5,4)</f>
        <v>0</v>
      </c>
      <c r="R114" s="17">
        <f t="shared" si="101"/>
        <v>0.00659</v>
      </c>
      <c r="S114" s="146">
        <f t="shared" si="102"/>
        <v>0.31</v>
      </c>
      <c r="V114" s="250">
        <f t="shared" si="106"/>
        <v>0.3074</v>
      </c>
      <c r="W114" s="249">
        <f t="shared" si="107"/>
        <v>0.31</v>
      </c>
      <c r="X114" s="30">
        <f t="shared" si="103"/>
        <v>-0.002599999999999991</v>
      </c>
      <c r="Y114">
        <f t="shared" si="71"/>
        <v>-0.002599999999999991</v>
      </c>
    </row>
    <row r="115" spans="1:25" ht="14.25" thickBot="1" thickTop="1">
      <c r="A115" s="260"/>
      <c r="B115" s="263"/>
      <c r="C115" s="7" t="s">
        <v>59</v>
      </c>
      <c r="D115" s="13">
        <f>'CNTNR COST'!G113</f>
        <v>0.1388</v>
      </c>
      <c r="E115" s="12">
        <f>ROUND(E112/32*10,4)</f>
        <v>0.0631</v>
      </c>
      <c r="F115" s="12">
        <f>+$F$14</f>
        <v>0</v>
      </c>
      <c r="G115" s="17">
        <f>ROUND($G$11/32*10,4)</f>
        <v>0</v>
      </c>
      <c r="H115" s="17">
        <f>ROUND($H$11/32*10,4)</f>
        <v>-0.0001</v>
      </c>
      <c r="I115" s="12">
        <f t="shared" si="104"/>
        <v>0.2018</v>
      </c>
      <c r="J115" s="12">
        <f t="shared" si="78"/>
        <v>0.007319170984455975</v>
      </c>
      <c r="K115" s="16">
        <f t="shared" si="105"/>
        <v>0.2091</v>
      </c>
      <c r="L115" s="12">
        <f>ROUND(L$11/32*10,4)</f>
        <v>-0.0396</v>
      </c>
      <c r="M115" s="12">
        <f>ROUND(M$11/32*10,4)</f>
        <v>0.0824</v>
      </c>
      <c r="O115" s="17">
        <f t="shared" si="99"/>
        <v>0.2519</v>
      </c>
      <c r="P115" s="17">
        <f t="shared" si="100"/>
        <v>-0.0378</v>
      </c>
      <c r="Q115" s="252">
        <f>ROUND(10/32*Q$5,4)</f>
        <v>0</v>
      </c>
      <c r="R115" s="17">
        <f t="shared" si="101"/>
        <v>0.00549</v>
      </c>
      <c r="S115" s="146">
        <f t="shared" si="102"/>
        <v>0.26</v>
      </c>
      <c r="V115" s="250">
        <f t="shared" si="106"/>
        <v>0.2569</v>
      </c>
      <c r="W115" s="249">
        <f t="shared" si="107"/>
        <v>0.26</v>
      </c>
      <c r="X115" s="30">
        <f t="shared" si="103"/>
        <v>-0.0030999999999999917</v>
      </c>
      <c r="Y115">
        <f t="shared" si="71"/>
        <v>-0.0030999999999999917</v>
      </c>
    </row>
    <row r="116" spans="1:25" ht="14.25" thickBot="1" thickTop="1">
      <c r="A116" s="260"/>
      <c r="B116" s="263"/>
      <c r="C116" s="7" t="s">
        <v>60</v>
      </c>
      <c r="D116" s="13">
        <f>'CNTNR COST'!G114</f>
        <v>0.087</v>
      </c>
      <c r="E116" s="12">
        <f>E112/4</f>
        <v>0.0505</v>
      </c>
      <c r="F116" s="12">
        <f>+$F$15</f>
        <v>0.0199</v>
      </c>
      <c r="G116" s="17">
        <f>ROUND($G$11/4,4)</f>
        <v>0</v>
      </c>
      <c r="H116" s="17">
        <f>ROUND($H$11/4,4)</f>
        <v>-0.0001</v>
      </c>
      <c r="I116" s="12">
        <f t="shared" si="104"/>
        <v>0.1573</v>
      </c>
      <c r="J116" s="12">
        <f t="shared" si="78"/>
        <v>0.005705181347150257</v>
      </c>
      <c r="K116" s="16">
        <f t="shared" si="105"/>
        <v>0.163</v>
      </c>
      <c r="L116" s="12">
        <f>ROUND(L$11/4,4)</f>
        <v>-0.0317</v>
      </c>
      <c r="M116" s="12">
        <f>ROUND(M$11/4,4)</f>
        <v>0.066</v>
      </c>
      <c r="O116" s="17">
        <f t="shared" si="99"/>
        <v>0.1973</v>
      </c>
      <c r="P116" s="17">
        <f t="shared" si="100"/>
        <v>-0.0296</v>
      </c>
      <c r="Q116" s="252">
        <f>ROUND(0.25*Q$5,4)</f>
        <v>0</v>
      </c>
      <c r="R116" s="17">
        <f t="shared" si="101"/>
        <v>0.0043</v>
      </c>
      <c r="S116" s="146">
        <f t="shared" si="102"/>
        <v>0.2</v>
      </c>
      <c r="V116" s="250">
        <f t="shared" si="106"/>
        <v>0.2023</v>
      </c>
      <c r="W116" s="249">
        <f t="shared" si="107"/>
        <v>0.2</v>
      </c>
      <c r="X116" s="30">
        <f t="shared" si="103"/>
        <v>0.0022999999999999965</v>
      </c>
      <c r="Y116">
        <f t="shared" si="71"/>
        <v>0.0022999999999999965</v>
      </c>
    </row>
    <row r="117" spans="1:25" ht="14.25" thickBot="1" thickTop="1">
      <c r="A117" s="260"/>
      <c r="B117" s="263"/>
      <c r="C117" s="7" t="s">
        <v>61</v>
      </c>
      <c r="D117" s="13">
        <f>'CNTNR COST'!G115</f>
        <v>0.064</v>
      </c>
      <c r="E117" s="12">
        <f>E112/8</f>
        <v>0.02525</v>
      </c>
      <c r="F117" s="12">
        <f>+$F$16</f>
        <v>0.0271</v>
      </c>
      <c r="G117" s="17">
        <f>ROUND($G$11/8,4)</f>
        <v>0</v>
      </c>
      <c r="H117" s="17">
        <f>ROUND($H$11/8,4)</f>
        <v>0</v>
      </c>
      <c r="I117" s="12">
        <f t="shared" si="104"/>
        <v>0.1164</v>
      </c>
      <c r="J117" s="12">
        <f t="shared" si="78"/>
        <v>0.004221761658031092</v>
      </c>
      <c r="K117" s="16">
        <f t="shared" si="105"/>
        <v>0.1206</v>
      </c>
      <c r="L117" s="12">
        <f>ROUND(L$11/8,4)</f>
        <v>-0.0158</v>
      </c>
      <c r="M117" s="12">
        <f>ROUND(M$11/8,4)</f>
        <v>0.033</v>
      </c>
      <c r="O117" s="17">
        <f t="shared" si="99"/>
        <v>0.1378</v>
      </c>
      <c r="P117" s="17">
        <f t="shared" si="100"/>
        <v>-0.0207</v>
      </c>
      <c r="Q117" s="252">
        <f>ROUND(0.125*Q$5,4)</f>
        <v>0</v>
      </c>
      <c r="R117" s="17">
        <f t="shared" si="101"/>
        <v>0.003003</v>
      </c>
      <c r="S117" s="146">
        <f t="shared" si="102"/>
        <v>0.14</v>
      </c>
      <c r="V117" s="250">
        <f t="shared" si="106"/>
        <v>0.1428</v>
      </c>
      <c r="W117" s="249">
        <f t="shared" si="107"/>
        <v>0.14</v>
      </c>
      <c r="X117" s="30">
        <f t="shared" si="103"/>
        <v>0.002799999999999997</v>
      </c>
      <c r="Y117">
        <f t="shared" si="71"/>
        <v>0.002799999999999997</v>
      </c>
    </row>
    <row r="118" spans="1:25" ht="14.25" thickBot="1" thickTop="1">
      <c r="A118" s="261"/>
      <c r="B118" s="264"/>
      <c r="C118" s="7" t="s">
        <v>82</v>
      </c>
      <c r="D118" s="24">
        <f>'CNTNR COST'!G116</f>
        <v>0.4016</v>
      </c>
      <c r="E118" s="25">
        <f>E112</f>
        <v>0.202</v>
      </c>
      <c r="F118" s="25">
        <f>+$F$17</f>
        <v>0.1195</v>
      </c>
      <c r="G118" s="27">
        <f>ROUND($G$11,6)</f>
        <v>0</v>
      </c>
      <c r="H118" s="27">
        <f>ROUND($H$11,6)</f>
        <v>-0.0002</v>
      </c>
      <c r="I118" s="25">
        <f t="shared" si="104"/>
        <v>0.7229</v>
      </c>
      <c r="J118" s="25">
        <f t="shared" si="78"/>
        <v>0.02621917098445603</v>
      </c>
      <c r="K118" s="29">
        <f t="shared" si="105"/>
        <v>0.7491</v>
      </c>
      <c r="L118" s="25">
        <f>L$11</f>
        <v>-0.1267</v>
      </c>
      <c r="M118" s="25">
        <f>M$11</f>
        <v>0.2638</v>
      </c>
      <c r="O118" s="27">
        <f t="shared" si="99"/>
        <v>0.8862</v>
      </c>
      <c r="P118" s="27">
        <f t="shared" si="100"/>
        <v>-0.1329</v>
      </c>
      <c r="Q118" s="27">
        <f>Q$5</f>
        <v>0</v>
      </c>
      <c r="R118" s="27">
        <f t="shared" si="101"/>
        <v>0.019315</v>
      </c>
      <c r="S118" s="147">
        <f t="shared" si="102"/>
        <v>0.89</v>
      </c>
      <c r="T118" s="169"/>
      <c r="V118" s="250">
        <f t="shared" si="106"/>
        <v>0.8912</v>
      </c>
      <c r="W118" s="249">
        <f t="shared" si="107"/>
        <v>0.89</v>
      </c>
      <c r="X118" s="30">
        <f t="shared" si="103"/>
        <v>0.0011999999999999789</v>
      </c>
      <c r="Y118">
        <f t="shared" si="71"/>
        <v>0.0011999999999999789</v>
      </c>
    </row>
    <row r="119" spans="11:23" ht="14.25" thickBot="1" thickTop="1">
      <c r="K119" s="30"/>
      <c r="O119" s="18"/>
      <c r="P119" s="18"/>
      <c r="Q119" s="253"/>
      <c r="R119" s="18"/>
      <c r="S119" s="148"/>
      <c r="V119" s="250"/>
      <c r="W119" s="249"/>
    </row>
    <row r="120" spans="1:25" ht="14.25" thickBot="1" thickTop="1">
      <c r="A120" s="259" t="s">
        <v>144</v>
      </c>
      <c r="B120" s="262" t="s">
        <v>143</v>
      </c>
      <c r="C120" s="7" t="s">
        <v>58</v>
      </c>
      <c r="D120" s="23">
        <f>'CNTNR COST'!G118</f>
        <v>0.6956</v>
      </c>
      <c r="E120" s="11">
        <f>E121*2</f>
        <v>0.404</v>
      </c>
      <c r="F120" s="11">
        <f>+$F$10</f>
        <v>-0.0419</v>
      </c>
      <c r="G120" s="17">
        <f>ROUND($G$11*2,6)</f>
        <v>0</v>
      </c>
      <c r="H120" s="26">
        <f>ROUND($H$11*2,6)</f>
        <v>-0.0004</v>
      </c>
      <c r="I120" s="11">
        <f aca="true" t="shared" si="108" ref="I120:I127">ROUND(SUM(D120:H120),4)</f>
        <v>1.0573</v>
      </c>
      <c r="J120" s="11">
        <f t="shared" si="78"/>
        <v>0.03834766839378245</v>
      </c>
      <c r="K120" s="28">
        <f aca="true" t="shared" si="109" ref="K120:K127">ROUND(I120+J120,4)</f>
        <v>1.0956</v>
      </c>
      <c r="L120" s="11">
        <f>ROUND(L$11*2,4)</f>
        <v>-0.2534</v>
      </c>
      <c r="M120" s="11">
        <f>ROUND(M$11*2,4)</f>
        <v>0.5276</v>
      </c>
      <c r="O120" s="26">
        <f aca="true" t="shared" si="110" ref="O120:O127">ROUND(SUM(K120:N120),6)</f>
        <v>1.3698</v>
      </c>
      <c r="P120" s="26">
        <f aca="true" t="shared" si="111" ref="P120:P127">ROUND(O120*(-P$7),4)</f>
        <v>-0.2055</v>
      </c>
      <c r="Q120" s="254">
        <f>2*Q$5</f>
        <v>0</v>
      </c>
      <c r="R120" s="26">
        <f aca="true" t="shared" si="112" ref="R120:R127">ROUND(((Q120+P120+O120)/(1-R$5))-(Q120+P120+O120),6)</f>
        <v>0.029854</v>
      </c>
      <c r="S120" s="145">
        <f aca="true" t="shared" si="113" ref="S120:S127">IF(ROUND(SUM(O120:R120),2)&gt;O120,ROUND(SUM(O120:R120),2),ROUND(O120+0.005,2))</f>
        <v>1.37</v>
      </c>
      <c r="V120" s="250">
        <f>IF(ROUND(SUM(O120:R120),4)&gt;O120,ROUND(SUM(O120:R120),4),ROUND(O120+0.005,4))</f>
        <v>1.3748</v>
      </c>
      <c r="W120" s="249">
        <f>IF(ROUND(SUM(O120:R120),2)&gt;O120,ROUND(SUM(O120:R120),2),ROUND(O120+0.005,2))</f>
        <v>1.37</v>
      </c>
      <c r="X120" s="30">
        <f>V120-W120</f>
        <v>0.0047999999999999154</v>
      </c>
      <c r="Y120">
        <f t="shared" si="71"/>
        <v>0.0047999999999999154</v>
      </c>
    </row>
    <row r="121" spans="1:25" ht="14.25" thickBot="1" thickTop="1">
      <c r="A121" s="260"/>
      <c r="B121" s="263"/>
      <c r="C121" s="7" t="s">
        <v>15</v>
      </c>
      <c r="D121" s="13">
        <f>'CNTNR COST'!G119</f>
        <v>0.3478</v>
      </c>
      <c r="E121" s="12">
        <f>CREAM_ADDON</f>
        <v>0.202</v>
      </c>
      <c r="F121" s="12">
        <f>+$F$11</f>
        <v>0.028</v>
      </c>
      <c r="G121" s="12">
        <f>Energy_Addon</f>
        <v>0</v>
      </c>
      <c r="H121" s="17">
        <f>ROUND(COST_UPDATE_ADJ,4)</f>
        <v>-0.0002</v>
      </c>
      <c r="I121" s="12">
        <f t="shared" si="108"/>
        <v>0.5776</v>
      </c>
      <c r="J121" s="12">
        <f t="shared" si="78"/>
        <v>0.020949222797927436</v>
      </c>
      <c r="K121" s="16">
        <f t="shared" si="109"/>
        <v>0.5985</v>
      </c>
      <c r="L121" s="12">
        <f>$L$11</f>
        <v>-0.1267</v>
      </c>
      <c r="M121" s="12">
        <f>$M$11</f>
        <v>0.2638</v>
      </c>
      <c r="O121" s="17">
        <f t="shared" si="110"/>
        <v>0.7356</v>
      </c>
      <c r="P121" s="17">
        <f t="shared" si="111"/>
        <v>-0.1103</v>
      </c>
      <c r="Q121" s="252">
        <f>Q$5</f>
        <v>0</v>
      </c>
      <c r="R121" s="17">
        <f t="shared" si="112"/>
        <v>0.016033</v>
      </c>
      <c r="S121" s="146">
        <f t="shared" si="113"/>
        <v>0.74</v>
      </c>
      <c r="V121" s="250">
        <f aca="true" t="shared" si="114" ref="V121:V127">IF(ROUND(SUM(O121:R121),4)&gt;O121,ROUND(SUM(O121:R121),4),ROUND(O121+0.005,4))</f>
        <v>0.7406</v>
      </c>
      <c r="W121" s="249">
        <f aca="true" t="shared" si="115" ref="W121:W127">IF(ROUND(SUM(O121:R121),2)&gt;O121,ROUND(SUM(O121:R121),2),ROUND(O121+0.005,2))</f>
        <v>0.74</v>
      </c>
      <c r="X121" s="30">
        <f aca="true" t="shared" si="116" ref="X121:X127">V121-W121</f>
        <v>0.0006000000000000449</v>
      </c>
      <c r="Y121">
        <f t="shared" si="71"/>
        <v>0.0006000000000000449</v>
      </c>
    </row>
    <row r="122" spans="1:25" ht="14.25" thickBot="1" thickTop="1">
      <c r="A122" s="260"/>
      <c r="B122" s="263"/>
      <c r="C122" s="7" t="s">
        <v>16</v>
      </c>
      <c r="D122" s="13">
        <f>'CNTNR COST'!G120</f>
        <v>0.1739</v>
      </c>
      <c r="E122" s="12">
        <f>E121/2</f>
        <v>0.101</v>
      </c>
      <c r="F122" s="12">
        <f>+$F$12</f>
        <v>0.0549</v>
      </c>
      <c r="G122" s="17">
        <f>ROUND($G$11/2,4)</f>
        <v>0</v>
      </c>
      <c r="H122" s="17">
        <f>ROUND($H$11/2,4)</f>
        <v>-0.0001</v>
      </c>
      <c r="I122" s="12">
        <f t="shared" si="108"/>
        <v>0.3297</v>
      </c>
      <c r="J122" s="12">
        <f t="shared" si="78"/>
        <v>0.01195803108808291</v>
      </c>
      <c r="K122" s="16">
        <f t="shared" si="109"/>
        <v>0.3417</v>
      </c>
      <c r="L122" s="12">
        <f>ROUND(L$11/2,4)</f>
        <v>-0.0634</v>
      </c>
      <c r="M122" s="12">
        <f>ROUND(M$11/2,4)</f>
        <v>0.1319</v>
      </c>
      <c r="O122" s="17">
        <f t="shared" si="110"/>
        <v>0.4102</v>
      </c>
      <c r="P122" s="17">
        <f t="shared" si="111"/>
        <v>-0.0615</v>
      </c>
      <c r="Q122" s="252">
        <f>ROUND(0.5*Q$5,4)</f>
        <v>0</v>
      </c>
      <c r="R122" s="17">
        <f t="shared" si="112"/>
        <v>0.008941</v>
      </c>
      <c r="S122" s="146">
        <f t="shared" si="113"/>
        <v>0.42</v>
      </c>
      <c r="V122" s="250">
        <f t="shared" si="114"/>
        <v>0.4152</v>
      </c>
      <c r="W122" s="249">
        <f t="shared" si="115"/>
        <v>0.42</v>
      </c>
      <c r="X122" s="30">
        <f t="shared" si="116"/>
        <v>-0.004799999999999971</v>
      </c>
      <c r="Y122">
        <f t="shared" si="71"/>
        <v>-0.004799999999999971</v>
      </c>
    </row>
    <row r="123" spans="1:25" ht="14.25" thickBot="1" thickTop="1">
      <c r="A123" s="260"/>
      <c r="B123" s="263"/>
      <c r="C123" s="7" t="s">
        <v>153</v>
      </c>
      <c r="D123" s="13">
        <f>'CNTNR COST'!G121</f>
        <v>0.1665</v>
      </c>
      <c r="E123" s="12">
        <f>ROUND(E121/32*12,4)</f>
        <v>0.0758</v>
      </c>
      <c r="F123" s="12">
        <f>+$F$13</f>
        <v>0</v>
      </c>
      <c r="G123" s="17">
        <f>ROUND($G$11/32*12,4)</f>
        <v>0</v>
      </c>
      <c r="H123" s="17">
        <f>ROUND($H$11/32*12,4)</f>
        <v>-0.0001</v>
      </c>
      <c r="I123" s="12">
        <f t="shared" si="108"/>
        <v>0.2422</v>
      </c>
      <c r="J123" s="12">
        <f t="shared" si="78"/>
        <v>0.008784455958549237</v>
      </c>
      <c r="K123" s="16">
        <f t="shared" si="109"/>
        <v>0.251</v>
      </c>
      <c r="L123" s="12">
        <f>ROUND(L$11/32*12,4)</f>
        <v>-0.0475</v>
      </c>
      <c r="M123" s="12">
        <f>ROUND(M$11/32*12,4)</f>
        <v>0.0989</v>
      </c>
      <c r="O123" s="17">
        <f t="shared" si="110"/>
        <v>0.3024</v>
      </c>
      <c r="P123" s="17">
        <f t="shared" si="111"/>
        <v>-0.0454</v>
      </c>
      <c r="Q123" s="252">
        <f>ROUND(12/32*Q$5,4)</f>
        <v>0</v>
      </c>
      <c r="R123" s="17">
        <f t="shared" si="112"/>
        <v>0.00659</v>
      </c>
      <c r="S123" s="146">
        <f t="shared" si="113"/>
        <v>0.31</v>
      </c>
      <c r="V123" s="250">
        <f t="shared" si="114"/>
        <v>0.3074</v>
      </c>
      <c r="W123" s="249">
        <f t="shared" si="115"/>
        <v>0.31</v>
      </c>
      <c r="X123" s="30">
        <f t="shared" si="116"/>
        <v>-0.002599999999999991</v>
      </c>
      <c r="Y123">
        <f t="shared" si="71"/>
        <v>-0.002599999999999991</v>
      </c>
    </row>
    <row r="124" spans="1:25" ht="14.25" thickBot="1" thickTop="1">
      <c r="A124" s="260"/>
      <c r="B124" s="263"/>
      <c r="C124" s="7" t="s">
        <v>59</v>
      </c>
      <c r="D124" s="13">
        <f>'CNTNR COST'!G122</f>
        <v>0.1388</v>
      </c>
      <c r="E124" s="12">
        <f>ROUND(E121/32*10,4)</f>
        <v>0.0631</v>
      </c>
      <c r="F124" s="12">
        <f>+$F$14</f>
        <v>0</v>
      </c>
      <c r="G124" s="17">
        <f>ROUND($G$11/32*10,4)</f>
        <v>0</v>
      </c>
      <c r="H124" s="17">
        <f>ROUND($H$11/32*10,4)</f>
        <v>-0.0001</v>
      </c>
      <c r="I124" s="12">
        <f t="shared" si="108"/>
        <v>0.2018</v>
      </c>
      <c r="J124" s="12">
        <f t="shared" si="78"/>
        <v>0.007319170984455975</v>
      </c>
      <c r="K124" s="16">
        <f t="shared" si="109"/>
        <v>0.2091</v>
      </c>
      <c r="L124" s="12">
        <f>ROUND(L$11/32*10,4)</f>
        <v>-0.0396</v>
      </c>
      <c r="M124" s="12">
        <f>ROUND(M$11/32*10,4)</f>
        <v>0.0824</v>
      </c>
      <c r="O124" s="17">
        <f t="shared" si="110"/>
        <v>0.2519</v>
      </c>
      <c r="P124" s="17">
        <f t="shared" si="111"/>
        <v>-0.0378</v>
      </c>
      <c r="Q124" s="252">
        <f>ROUND(10/32*Q$5,4)</f>
        <v>0</v>
      </c>
      <c r="R124" s="17">
        <f t="shared" si="112"/>
        <v>0.00549</v>
      </c>
      <c r="S124" s="146">
        <f t="shared" si="113"/>
        <v>0.26</v>
      </c>
      <c r="V124" s="250">
        <f t="shared" si="114"/>
        <v>0.2569</v>
      </c>
      <c r="W124" s="249">
        <f t="shared" si="115"/>
        <v>0.26</v>
      </c>
      <c r="X124" s="30">
        <f t="shared" si="116"/>
        <v>-0.0030999999999999917</v>
      </c>
      <c r="Y124">
        <f t="shared" si="71"/>
        <v>-0.0030999999999999917</v>
      </c>
    </row>
    <row r="125" spans="1:25" ht="14.25" thickBot="1" thickTop="1">
      <c r="A125" s="260"/>
      <c r="B125" s="263"/>
      <c r="C125" s="7" t="s">
        <v>60</v>
      </c>
      <c r="D125" s="13">
        <f>'CNTNR COST'!G123</f>
        <v>0.087</v>
      </c>
      <c r="E125" s="12">
        <f>E121/4</f>
        <v>0.0505</v>
      </c>
      <c r="F125" s="12">
        <f>+$F$15</f>
        <v>0.0199</v>
      </c>
      <c r="G125" s="17">
        <f>ROUND($G$11/4,4)</f>
        <v>0</v>
      </c>
      <c r="H125" s="17">
        <f>ROUND($H$11/4,4)</f>
        <v>-0.0001</v>
      </c>
      <c r="I125" s="12">
        <f t="shared" si="108"/>
        <v>0.1573</v>
      </c>
      <c r="J125" s="12">
        <f t="shared" si="78"/>
        <v>0.005705181347150257</v>
      </c>
      <c r="K125" s="16">
        <f t="shared" si="109"/>
        <v>0.163</v>
      </c>
      <c r="L125" s="12">
        <f>ROUND(L$11/4,4)</f>
        <v>-0.0317</v>
      </c>
      <c r="M125" s="12">
        <f>ROUND(M$11/4,4)</f>
        <v>0.066</v>
      </c>
      <c r="O125" s="17">
        <f t="shared" si="110"/>
        <v>0.1973</v>
      </c>
      <c r="P125" s="17">
        <f t="shared" si="111"/>
        <v>-0.0296</v>
      </c>
      <c r="Q125" s="252">
        <f>ROUND(0.25*Q$5,4)</f>
        <v>0</v>
      </c>
      <c r="R125" s="17">
        <f t="shared" si="112"/>
        <v>0.0043</v>
      </c>
      <c r="S125" s="146">
        <f t="shared" si="113"/>
        <v>0.2</v>
      </c>
      <c r="V125" s="250">
        <f t="shared" si="114"/>
        <v>0.2023</v>
      </c>
      <c r="W125" s="249">
        <f t="shared" si="115"/>
        <v>0.2</v>
      </c>
      <c r="X125" s="30">
        <f t="shared" si="116"/>
        <v>0.0022999999999999965</v>
      </c>
      <c r="Y125">
        <f t="shared" si="71"/>
        <v>0.0022999999999999965</v>
      </c>
    </row>
    <row r="126" spans="1:25" ht="14.25" thickBot="1" thickTop="1">
      <c r="A126" s="260"/>
      <c r="B126" s="263"/>
      <c r="C126" s="7" t="s">
        <v>61</v>
      </c>
      <c r="D126" s="13">
        <f>'CNTNR COST'!G124</f>
        <v>0.064</v>
      </c>
      <c r="E126" s="12">
        <f>E121/8</f>
        <v>0.02525</v>
      </c>
      <c r="F126" s="12">
        <f>+$F$16</f>
        <v>0.0271</v>
      </c>
      <c r="G126" s="17">
        <f>ROUND($G$11/8,4)</f>
        <v>0</v>
      </c>
      <c r="H126" s="17">
        <f>ROUND($H$11/8,4)</f>
        <v>0</v>
      </c>
      <c r="I126" s="12">
        <f t="shared" si="108"/>
        <v>0.1164</v>
      </c>
      <c r="J126" s="12">
        <f t="shared" si="78"/>
        <v>0.004221761658031092</v>
      </c>
      <c r="K126" s="16">
        <f t="shared" si="109"/>
        <v>0.1206</v>
      </c>
      <c r="L126" s="12">
        <f>ROUND(L$11/8,4)</f>
        <v>-0.0158</v>
      </c>
      <c r="M126" s="12">
        <f>ROUND(M$11/8,4)</f>
        <v>0.033</v>
      </c>
      <c r="O126" s="17">
        <f t="shared" si="110"/>
        <v>0.1378</v>
      </c>
      <c r="P126" s="17">
        <f t="shared" si="111"/>
        <v>-0.0207</v>
      </c>
      <c r="Q126" s="252">
        <f>ROUND(0.125*Q$5,4)</f>
        <v>0</v>
      </c>
      <c r="R126" s="17">
        <f t="shared" si="112"/>
        <v>0.003003</v>
      </c>
      <c r="S126" s="146">
        <f t="shared" si="113"/>
        <v>0.14</v>
      </c>
      <c r="V126" s="250">
        <f t="shared" si="114"/>
        <v>0.1428</v>
      </c>
      <c r="W126" s="249">
        <f t="shared" si="115"/>
        <v>0.14</v>
      </c>
      <c r="X126" s="30">
        <f t="shared" si="116"/>
        <v>0.002799999999999997</v>
      </c>
      <c r="Y126">
        <f t="shared" si="71"/>
        <v>0.002799999999999997</v>
      </c>
    </row>
    <row r="127" spans="1:25" ht="14.25" thickBot="1" thickTop="1">
      <c r="A127" s="261"/>
      <c r="B127" s="264"/>
      <c r="C127" s="7" t="s">
        <v>82</v>
      </c>
      <c r="D127" s="24">
        <f>'CNTNR COST'!G125</f>
        <v>0.4016</v>
      </c>
      <c r="E127" s="25">
        <f>E121</f>
        <v>0.202</v>
      </c>
      <c r="F127" s="25">
        <f>+$F$17</f>
        <v>0.1195</v>
      </c>
      <c r="G127" s="27">
        <f>ROUND($G$11,6)</f>
        <v>0</v>
      </c>
      <c r="H127" s="27">
        <f>ROUND($H$11,6)</f>
        <v>-0.0002</v>
      </c>
      <c r="I127" s="25">
        <f t="shared" si="108"/>
        <v>0.7229</v>
      </c>
      <c r="J127" s="25">
        <f t="shared" si="78"/>
        <v>0.02621917098445603</v>
      </c>
      <c r="K127" s="29">
        <f t="shared" si="109"/>
        <v>0.7491</v>
      </c>
      <c r="L127" s="25">
        <f>L$11</f>
        <v>-0.1267</v>
      </c>
      <c r="M127" s="25">
        <f>M$11</f>
        <v>0.2638</v>
      </c>
      <c r="O127" s="27">
        <f t="shared" si="110"/>
        <v>0.8862</v>
      </c>
      <c r="P127" s="27">
        <f t="shared" si="111"/>
        <v>-0.1329</v>
      </c>
      <c r="Q127" s="27">
        <f>Q$5</f>
        <v>0</v>
      </c>
      <c r="R127" s="27">
        <f t="shared" si="112"/>
        <v>0.019315</v>
      </c>
      <c r="S127" s="147">
        <f t="shared" si="113"/>
        <v>0.89</v>
      </c>
      <c r="V127" s="250">
        <f t="shared" si="114"/>
        <v>0.8912</v>
      </c>
      <c r="W127" s="249">
        <f t="shared" si="115"/>
        <v>0.89</v>
      </c>
      <c r="X127" s="30">
        <f t="shared" si="116"/>
        <v>0.0011999999999999789</v>
      </c>
      <c r="Y127">
        <f t="shared" si="71"/>
        <v>0.0011999999999999789</v>
      </c>
    </row>
    <row r="128" spans="11:24" ht="14.25" thickBot="1" thickTop="1">
      <c r="K128" s="30"/>
      <c r="O128" s="18"/>
      <c r="P128" s="18"/>
      <c r="Q128" s="253"/>
      <c r="R128" s="18"/>
      <c r="S128" s="148"/>
      <c r="V128" s="250"/>
      <c r="W128" s="249"/>
      <c r="X128" s="30"/>
    </row>
    <row r="129" spans="1:25" ht="14.25" thickBot="1" thickTop="1">
      <c r="A129" s="259" t="s">
        <v>145</v>
      </c>
      <c r="B129" s="262" t="s">
        <v>143</v>
      </c>
      <c r="C129" s="7" t="s">
        <v>58</v>
      </c>
      <c r="D129" s="23">
        <f>'CNTNR COST'!G127</f>
        <v>0.6956</v>
      </c>
      <c r="E129" s="11">
        <f>E130*2</f>
        <v>0.404</v>
      </c>
      <c r="F129" s="11">
        <f>+$F$10</f>
        <v>-0.0419</v>
      </c>
      <c r="G129" s="17">
        <f>ROUND($G$11*2,6)</f>
        <v>0</v>
      </c>
      <c r="H129" s="26">
        <f>ROUND($H$11*2,6)</f>
        <v>-0.0004</v>
      </c>
      <c r="I129" s="11">
        <f aca="true" t="shared" si="117" ref="I129:I136">ROUND(SUM(D129:H129),4)</f>
        <v>1.0573</v>
      </c>
      <c r="J129" s="11">
        <f t="shared" si="78"/>
        <v>0.03834766839378245</v>
      </c>
      <c r="K129" s="28">
        <f aca="true" t="shared" si="118" ref="K129:K136">ROUND(I129+J129,4)</f>
        <v>1.0956</v>
      </c>
      <c r="L129" s="11">
        <f>ROUND(L$11*2,4)</f>
        <v>-0.2534</v>
      </c>
      <c r="M129" s="11">
        <f>ROUND(M$11*2,4)</f>
        <v>0.5276</v>
      </c>
      <c r="O129" s="26">
        <f aca="true" t="shared" si="119" ref="O129:O136">ROUND(SUM(K129:N129),6)</f>
        <v>1.3698</v>
      </c>
      <c r="P129" s="26">
        <f aca="true" t="shared" si="120" ref="P129:P136">ROUND(O129*(-P$7),4)</f>
        <v>-0.2055</v>
      </c>
      <c r="Q129" s="254">
        <f>2*Q$5</f>
        <v>0</v>
      </c>
      <c r="R129" s="26">
        <f aca="true" t="shared" si="121" ref="R129:R136">ROUND(((Q129+P129+O129)/(1-R$5))-(Q129+P129+O129),6)</f>
        <v>0.029854</v>
      </c>
      <c r="S129" s="145">
        <f aca="true" t="shared" si="122" ref="S129:S136">IF(ROUND(SUM(O129:R129),2)&gt;O129,ROUND(SUM(O129:R129),2),ROUND(O129+0.005,2))</f>
        <v>1.37</v>
      </c>
      <c r="V129" s="250">
        <f>IF(ROUND(SUM(O129:R129),4)&gt;O129,ROUND(SUM(O129:R129),4),ROUND(O129+0.005,4))</f>
        <v>1.3748</v>
      </c>
      <c r="W129" s="249">
        <f>IF(ROUND(SUM(O129:R129),2)&gt;O129,ROUND(SUM(O129:R129),2),ROUND(O129+0.005,2))</f>
        <v>1.37</v>
      </c>
      <c r="X129" s="30">
        <f>V129-W129</f>
        <v>0.0047999999999999154</v>
      </c>
      <c r="Y129">
        <f t="shared" si="71"/>
        <v>0.0047999999999999154</v>
      </c>
    </row>
    <row r="130" spans="1:25" ht="14.25" thickBot="1" thickTop="1">
      <c r="A130" s="260"/>
      <c r="B130" s="263"/>
      <c r="C130" s="7" t="s">
        <v>15</v>
      </c>
      <c r="D130" s="13">
        <f>'CNTNR COST'!G128</f>
        <v>0.3478</v>
      </c>
      <c r="E130" s="12">
        <f>CREAM_ADDON</f>
        <v>0.202</v>
      </c>
      <c r="F130" s="12">
        <f>+$F$11</f>
        <v>0.028</v>
      </c>
      <c r="G130" s="12">
        <f>Energy_Addon</f>
        <v>0</v>
      </c>
      <c r="H130" s="17">
        <f>ROUND(COST_UPDATE_ADJ,4)</f>
        <v>-0.0002</v>
      </c>
      <c r="I130" s="12">
        <f t="shared" si="117"/>
        <v>0.5776</v>
      </c>
      <c r="J130" s="12">
        <f t="shared" si="78"/>
        <v>0.020949222797927436</v>
      </c>
      <c r="K130" s="16">
        <f t="shared" si="118"/>
        <v>0.5985</v>
      </c>
      <c r="L130" s="12">
        <f>$L$11</f>
        <v>-0.1267</v>
      </c>
      <c r="M130" s="12">
        <f>$M$11</f>
        <v>0.2638</v>
      </c>
      <c r="O130" s="17">
        <f t="shared" si="119"/>
        <v>0.7356</v>
      </c>
      <c r="P130" s="17">
        <f t="shared" si="120"/>
        <v>-0.1103</v>
      </c>
      <c r="Q130" s="252">
        <f>Q$5</f>
        <v>0</v>
      </c>
      <c r="R130" s="17">
        <f t="shared" si="121"/>
        <v>0.016033</v>
      </c>
      <c r="S130" s="146">
        <f t="shared" si="122"/>
        <v>0.74</v>
      </c>
      <c r="V130" s="250">
        <f aca="true" t="shared" si="123" ref="V130:V136">IF(ROUND(SUM(O130:R130),4)&gt;O130,ROUND(SUM(O130:R130),4),ROUND(O130+0.005,4))</f>
        <v>0.7406</v>
      </c>
      <c r="W130" s="249">
        <f aca="true" t="shared" si="124" ref="W130:W136">IF(ROUND(SUM(O130:R130),2)&gt;O130,ROUND(SUM(O130:R130),2),ROUND(O130+0.005,2))</f>
        <v>0.74</v>
      </c>
      <c r="X130" s="30">
        <f aca="true" t="shared" si="125" ref="X130:X136">V130-W130</f>
        <v>0.0006000000000000449</v>
      </c>
      <c r="Y130">
        <f t="shared" si="71"/>
        <v>0.0006000000000000449</v>
      </c>
    </row>
    <row r="131" spans="1:25" ht="14.25" thickBot="1" thickTop="1">
      <c r="A131" s="260"/>
      <c r="B131" s="263"/>
      <c r="C131" s="7" t="s">
        <v>16</v>
      </c>
      <c r="D131" s="13">
        <f>'CNTNR COST'!G129</f>
        <v>0.1739</v>
      </c>
      <c r="E131" s="12">
        <f>E130/2</f>
        <v>0.101</v>
      </c>
      <c r="F131" s="12">
        <f>+$F$12</f>
        <v>0.0549</v>
      </c>
      <c r="G131" s="17">
        <f>ROUND($G$11/2,4)</f>
        <v>0</v>
      </c>
      <c r="H131" s="17">
        <f>ROUND($H$11/2,4)</f>
        <v>-0.0001</v>
      </c>
      <c r="I131" s="12">
        <f t="shared" si="117"/>
        <v>0.3297</v>
      </c>
      <c r="J131" s="12">
        <f t="shared" si="78"/>
        <v>0.01195803108808291</v>
      </c>
      <c r="K131" s="16">
        <f t="shared" si="118"/>
        <v>0.3417</v>
      </c>
      <c r="L131" s="12">
        <f>ROUND(L$11/2,4)</f>
        <v>-0.0634</v>
      </c>
      <c r="M131" s="12">
        <f>ROUND(M$11/2,4)</f>
        <v>0.1319</v>
      </c>
      <c r="O131" s="17">
        <f t="shared" si="119"/>
        <v>0.4102</v>
      </c>
      <c r="P131" s="17">
        <f t="shared" si="120"/>
        <v>-0.0615</v>
      </c>
      <c r="Q131" s="252">
        <f>ROUND(0.5*Q$5,4)</f>
        <v>0</v>
      </c>
      <c r="R131" s="17">
        <f t="shared" si="121"/>
        <v>0.008941</v>
      </c>
      <c r="S131" s="146">
        <f t="shared" si="122"/>
        <v>0.42</v>
      </c>
      <c r="V131" s="250">
        <f t="shared" si="123"/>
        <v>0.4152</v>
      </c>
      <c r="W131" s="249">
        <f t="shared" si="124"/>
        <v>0.42</v>
      </c>
      <c r="X131" s="30">
        <f t="shared" si="125"/>
        <v>-0.004799999999999971</v>
      </c>
      <c r="Y131">
        <f t="shared" si="71"/>
        <v>-0.004799999999999971</v>
      </c>
    </row>
    <row r="132" spans="1:25" ht="14.25" thickBot="1" thickTop="1">
      <c r="A132" s="260"/>
      <c r="B132" s="263"/>
      <c r="C132" s="7" t="s">
        <v>153</v>
      </c>
      <c r="D132" s="13">
        <f>'CNTNR COST'!G130</f>
        <v>0.1665</v>
      </c>
      <c r="E132" s="12">
        <f>ROUND(E130/32*12,4)</f>
        <v>0.0758</v>
      </c>
      <c r="F132" s="12">
        <f>+$F$13</f>
        <v>0</v>
      </c>
      <c r="G132" s="17">
        <f>ROUND($G$11/32*12,4)</f>
        <v>0</v>
      </c>
      <c r="H132" s="17">
        <f>ROUND($H$11/32*12,4)</f>
        <v>-0.0001</v>
      </c>
      <c r="I132" s="12">
        <f t="shared" si="117"/>
        <v>0.2422</v>
      </c>
      <c r="J132" s="12">
        <f t="shared" si="78"/>
        <v>0.008784455958549237</v>
      </c>
      <c r="K132" s="16">
        <f t="shared" si="118"/>
        <v>0.251</v>
      </c>
      <c r="L132" s="12">
        <f>ROUND(L$11/32*12,4)</f>
        <v>-0.0475</v>
      </c>
      <c r="M132" s="12">
        <f>ROUND(M$11/32*12,4)</f>
        <v>0.0989</v>
      </c>
      <c r="O132" s="17">
        <f t="shared" si="119"/>
        <v>0.3024</v>
      </c>
      <c r="P132" s="17">
        <f t="shared" si="120"/>
        <v>-0.0454</v>
      </c>
      <c r="Q132" s="252">
        <f>ROUND(12/32*Q$5,4)</f>
        <v>0</v>
      </c>
      <c r="R132" s="17">
        <f t="shared" si="121"/>
        <v>0.00659</v>
      </c>
      <c r="S132" s="146">
        <f t="shared" si="122"/>
        <v>0.31</v>
      </c>
      <c r="V132" s="250">
        <f t="shared" si="123"/>
        <v>0.3074</v>
      </c>
      <c r="W132" s="249">
        <f t="shared" si="124"/>
        <v>0.31</v>
      </c>
      <c r="X132" s="30">
        <f t="shared" si="125"/>
        <v>-0.002599999999999991</v>
      </c>
      <c r="Y132">
        <f t="shared" si="71"/>
        <v>-0.002599999999999991</v>
      </c>
    </row>
    <row r="133" spans="1:25" ht="14.25" thickBot="1" thickTop="1">
      <c r="A133" s="260"/>
      <c r="B133" s="263"/>
      <c r="C133" s="7" t="s">
        <v>59</v>
      </c>
      <c r="D133" s="13">
        <f>'CNTNR COST'!G131</f>
        <v>0.1388</v>
      </c>
      <c r="E133" s="12">
        <f>ROUND(E130/32*10,4)</f>
        <v>0.0631</v>
      </c>
      <c r="F133" s="12">
        <f>+$F$14</f>
        <v>0</v>
      </c>
      <c r="G133" s="17">
        <f>ROUND($G$11/32*10,4)</f>
        <v>0</v>
      </c>
      <c r="H133" s="17">
        <f>ROUND($H$11/32*10,4)</f>
        <v>-0.0001</v>
      </c>
      <c r="I133" s="12">
        <f t="shared" si="117"/>
        <v>0.2018</v>
      </c>
      <c r="J133" s="12">
        <f t="shared" si="78"/>
        <v>0.007319170984455975</v>
      </c>
      <c r="K133" s="16">
        <f t="shared" si="118"/>
        <v>0.2091</v>
      </c>
      <c r="L133" s="12">
        <f>ROUND(L$11/32*10,4)</f>
        <v>-0.0396</v>
      </c>
      <c r="M133" s="12">
        <f>ROUND(M$11/32*10,4)</f>
        <v>0.0824</v>
      </c>
      <c r="O133" s="17">
        <f t="shared" si="119"/>
        <v>0.2519</v>
      </c>
      <c r="P133" s="17">
        <f t="shared" si="120"/>
        <v>-0.0378</v>
      </c>
      <c r="Q133" s="252">
        <f>ROUND(10/32*Q$5,4)</f>
        <v>0</v>
      </c>
      <c r="R133" s="17">
        <f t="shared" si="121"/>
        <v>0.00549</v>
      </c>
      <c r="S133" s="146">
        <f t="shared" si="122"/>
        <v>0.26</v>
      </c>
      <c r="V133" s="250">
        <f t="shared" si="123"/>
        <v>0.2569</v>
      </c>
      <c r="W133" s="249">
        <f t="shared" si="124"/>
        <v>0.26</v>
      </c>
      <c r="X133" s="30">
        <f t="shared" si="125"/>
        <v>-0.0030999999999999917</v>
      </c>
      <c r="Y133">
        <f t="shared" si="71"/>
        <v>-0.0030999999999999917</v>
      </c>
    </row>
    <row r="134" spans="1:25" ht="14.25" thickBot="1" thickTop="1">
      <c r="A134" s="260"/>
      <c r="B134" s="263"/>
      <c r="C134" s="7" t="s">
        <v>60</v>
      </c>
      <c r="D134" s="13">
        <f>'CNTNR COST'!G132</f>
        <v>0.087</v>
      </c>
      <c r="E134" s="12">
        <f>E130/4</f>
        <v>0.0505</v>
      </c>
      <c r="F134" s="12">
        <f>+$F$15</f>
        <v>0.0199</v>
      </c>
      <c r="G134" s="17">
        <f>ROUND($G$11/4,4)</f>
        <v>0</v>
      </c>
      <c r="H134" s="17">
        <f>ROUND($H$11/4,4)</f>
        <v>-0.0001</v>
      </c>
      <c r="I134" s="12">
        <f t="shared" si="117"/>
        <v>0.1573</v>
      </c>
      <c r="J134" s="12">
        <f t="shared" si="78"/>
        <v>0.005705181347150257</v>
      </c>
      <c r="K134" s="16">
        <f t="shared" si="118"/>
        <v>0.163</v>
      </c>
      <c r="L134" s="12">
        <f>ROUND(L$11/4,4)</f>
        <v>-0.0317</v>
      </c>
      <c r="M134" s="12">
        <f>ROUND(M$11/4,4)</f>
        <v>0.066</v>
      </c>
      <c r="O134" s="17">
        <f t="shared" si="119"/>
        <v>0.1973</v>
      </c>
      <c r="P134" s="17">
        <f t="shared" si="120"/>
        <v>-0.0296</v>
      </c>
      <c r="Q134" s="252">
        <f>ROUND(0.25*Q$5,4)</f>
        <v>0</v>
      </c>
      <c r="R134" s="17">
        <f t="shared" si="121"/>
        <v>0.0043</v>
      </c>
      <c r="S134" s="146">
        <f t="shared" si="122"/>
        <v>0.2</v>
      </c>
      <c r="V134" s="250">
        <f t="shared" si="123"/>
        <v>0.2023</v>
      </c>
      <c r="W134" s="249">
        <f t="shared" si="124"/>
        <v>0.2</v>
      </c>
      <c r="X134" s="30">
        <f t="shared" si="125"/>
        <v>0.0022999999999999965</v>
      </c>
      <c r="Y134">
        <f t="shared" si="71"/>
        <v>0.0022999999999999965</v>
      </c>
    </row>
    <row r="135" spans="1:25" ht="14.25" thickBot="1" thickTop="1">
      <c r="A135" s="260"/>
      <c r="B135" s="263"/>
      <c r="C135" s="7" t="s">
        <v>61</v>
      </c>
      <c r="D135" s="13">
        <f>'CNTNR COST'!G133</f>
        <v>0.064</v>
      </c>
      <c r="E135" s="12">
        <f>ROUND(E130/8,4)</f>
        <v>0.0253</v>
      </c>
      <c r="F135" s="12">
        <f>+$F$16</f>
        <v>0.0271</v>
      </c>
      <c r="G135" s="17">
        <f>ROUND($G$11/8,4)</f>
        <v>0</v>
      </c>
      <c r="H135" s="17">
        <f>ROUND($H$11/8,4)</f>
        <v>0</v>
      </c>
      <c r="I135" s="12">
        <f t="shared" si="117"/>
        <v>0.1164</v>
      </c>
      <c r="J135" s="12">
        <f t="shared" si="78"/>
        <v>0.004221761658031092</v>
      </c>
      <c r="K135" s="16">
        <f t="shared" si="118"/>
        <v>0.1206</v>
      </c>
      <c r="L135" s="12">
        <f>ROUND(L$11/8,4)</f>
        <v>-0.0158</v>
      </c>
      <c r="M135" s="12">
        <f>ROUND(M$11/8,4)</f>
        <v>0.033</v>
      </c>
      <c r="O135" s="17">
        <f t="shared" si="119"/>
        <v>0.1378</v>
      </c>
      <c r="P135" s="17">
        <f t="shared" si="120"/>
        <v>-0.0207</v>
      </c>
      <c r="Q135" s="252">
        <f>ROUND(0.125*Q$5,4)</f>
        <v>0</v>
      </c>
      <c r="R135" s="17">
        <f t="shared" si="121"/>
        <v>0.003003</v>
      </c>
      <c r="S135" s="146">
        <f t="shared" si="122"/>
        <v>0.14</v>
      </c>
      <c r="V135" s="250">
        <f t="shared" si="123"/>
        <v>0.1428</v>
      </c>
      <c r="W135" s="249">
        <f t="shared" si="124"/>
        <v>0.14</v>
      </c>
      <c r="X135" s="30">
        <f t="shared" si="125"/>
        <v>0.002799999999999997</v>
      </c>
      <c r="Y135">
        <f t="shared" si="71"/>
        <v>0.002799999999999997</v>
      </c>
    </row>
    <row r="136" spans="1:25" ht="14.25" thickBot="1" thickTop="1">
      <c r="A136" s="261"/>
      <c r="B136" s="264"/>
      <c r="C136" s="7" t="s">
        <v>82</v>
      </c>
      <c r="D136" s="24">
        <f>'CNTNR COST'!G134</f>
        <v>0.4016</v>
      </c>
      <c r="E136" s="25">
        <f>E130</f>
        <v>0.202</v>
      </c>
      <c r="F136" s="25">
        <f>+$F$17</f>
        <v>0.1195</v>
      </c>
      <c r="G136" s="27">
        <f>ROUND($G$11,6)</f>
        <v>0</v>
      </c>
      <c r="H136" s="27">
        <f>ROUND($H$11,6)</f>
        <v>-0.0002</v>
      </c>
      <c r="I136" s="25">
        <f t="shared" si="117"/>
        <v>0.7229</v>
      </c>
      <c r="J136" s="25">
        <f t="shared" si="78"/>
        <v>0.02621917098445603</v>
      </c>
      <c r="K136" s="29">
        <f t="shared" si="118"/>
        <v>0.7491</v>
      </c>
      <c r="L136" s="25">
        <f>L$11</f>
        <v>-0.1267</v>
      </c>
      <c r="M136" s="25">
        <f>M$11</f>
        <v>0.2638</v>
      </c>
      <c r="O136" s="27">
        <f t="shared" si="119"/>
        <v>0.8862</v>
      </c>
      <c r="P136" s="27">
        <f t="shared" si="120"/>
        <v>-0.1329</v>
      </c>
      <c r="Q136" s="27">
        <f>Q$5</f>
        <v>0</v>
      </c>
      <c r="R136" s="27">
        <f t="shared" si="121"/>
        <v>0.019315</v>
      </c>
      <c r="S136" s="147">
        <f t="shared" si="122"/>
        <v>0.89</v>
      </c>
      <c r="V136" s="250">
        <f t="shared" si="123"/>
        <v>0.8912</v>
      </c>
      <c r="W136" s="249">
        <f t="shared" si="124"/>
        <v>0.89</v>
      </c>
      <c r="X136" s="30">
        <f t="shared" si="125"/>
        <v>0.0011999999999999789</v>
      </c>
      <c r="Y136">
        <f t="shared" si="71"/>
        <v>0.0011999999999999789</v>
      </c>
    </row>
    <row r="137" spans="7:24" ht="14.25" thickBot="1" thickTop="1">
      <c r="G137" s="182"/>
      <c r="K137" s="30"/>
      <c r="O137" s="18"/>
      <c r="P137" s="18"/>
      <c r="Q137" s="253"/>
      <c r="R137" s="18"/>
      <c r="S137" s="148"/>
      <c r="V137" s="250"/>
      <c r="W137" s="249"/>
      <c r="X137" s="30"/>
    </row>
    <row r="138" spans="1:25" ht="14.25" thickBot="1" thickTop="1">
      <c r="A138" s="259" t="s">
        <v>68</v>
      </c>
      <c r="B138" s="262"/>
      <c r="C138" s="7" t="s">
        <v>58</v>
      </c>
      <c r="D138" s="23">
        <f>'CNTNR COST'!G136</f>
        <v>0.6956</v>
      </c>
      <c r="E138" s="11">
        <f>+E139*2</f>
        <v>1.3782</v>
      </c>
      <c r="F138" s="11">
        <f>+$F$10</f>
        <v>-0.0419</v>
      </c>
      <c r="G138" s="26">
        <f>ROUND($G$11*2,6)</f>
        <v>0</v>
      </c>
      <c r="H138" s="26">
        <f>ROUND($H$11*2,6)</f>
        <v>-0.0004</v>
      </c>
      <c r="I138" s="11">
        <f aca="true" t="shared" si="126" ref="I138:I145">ROUND(SUM(D138:H138),4)</f>
        <v>2.0315</v>
      </c>
      <c r="J138" s="11">
        <f t="shared" si="78"/>
        <v>0.07368134715025931</v>
      </c>
      <c r="K138" s="28">
        <f aca="true" t="shared" si="127" ref="K138:K145">ROUND(I138+J138,4)</f>
        <v>2.1052</v>
      </c>
      <c r="L138" s="11">
        <f>ROUND(L$11*2,4)</f>
        <v>-0.2534</v>
      </c>
      <c r="M138" s="11">
        <f>ROUND(M$11*2,4)</f>
        <v>0.5276</v>
      </c>
      <c r="O138" s="26">
        <f aca="true" t="shared" si="128" ref="O138:O145">ROUND(SUM(K138:N138),6)</f>
        <v>2.3794</v>
      </c>
      <c r="P138" s="26">
        <f aca="true" t="shared" si="129" ref="P138:P145">ROUND(O138*(-P$7),4)</f>
        <v>-0.3569</v>
      </c>
      <c r="Q138" s="254">
        <f>2*Q$5</f>
        <v>0</v>
      </c>
      <c r="R138" s="26">
        <f aca="true" t="shared" si="130" ref="R138:R145">ROUND(((Q138+P138+O138)/(1-R$5))-(Q138+P138+O138),6)</f>
        <v>0.051859</v>
      </c>
      <c r="S138" s="145">
        <f aca="true" t="shared" si="131" ref="S138:S145">IF(ROUND(SUM(O138:R138),2)&gt;O138,ROUND(SUM(O138:R138),2),ROUND(O138+0.005,2))</f>
        <v>2.38</v>
      </c>
      <c r="V138" s="250">
        <f>IF(ROUND(SUM(O138:R138),4)&gt;O138,ROUND(SUM(O138:R138),4),ROUND(O138+0.005,4))</f>
        <v>2.3844</v>
      </c>
      <c r="W138" s="249">
        <f aca="true" t="shared" si="132" ref="W138:W145">IF(ROUND(SUM(O138:R138),2)&gt;O138,ROUND(SUM(O138:R138),2),ROUND(O138+0.005,2))</f>
        <v>2.38</v>
      </c>
      <c r="X138" s="30">
        <f aca="true" t="shared" si="133" ref="X138:X145">V138-W138</f>
        <v>0.0043999999999999595</v>
      </c>
      <c r="Y138">
        <f aca="true" t="shared" si="134" ref="Y138:Y145">IF(X138=0.005,0.006,X138)</f>
        <v>0.0043999999999999595</v>
      </c>
    </row>
    <row r="139" spans="1:25" ht="14.25" thickBot="1" thickTop="1">
      <c r="A139" s="260"/>
      <c r="B139" s="263"/>
      <c r="C139" s="7" t="s">
        <v>15</v>
      </c>
      <c r="D139" s="13">
        <f>'CNTNR COST'!G137</f>
        <v>0.3478</v>
      </c>
      <c r="E139" s="12">
        <f>SC_ADDON</f>
        <v>0.6891</v>
      </c>
      <c r="F139" s="12">
        <f>+$F$11</f>
        <v>0.028</v>
      </c>
      <c r="G139" s="12">
        <f>Energy_Addon</f>
        <v>0</v>
      </c>
      <c r="H139" s="17">
        <f>ROUND(COST_UPDATE_ADJ,4)</f>
        <v>-0.0002</v>
      </c>
      <c r="I139" s="12">
        <f t="shared" si="126"/>
        <v>1.0647</v>
      </c>
      <c r="J139" s="12">
        <f t="shared" si="78"/>
        <v>0.038616062176165755</v>
      </c>
      <c r="K139" s="16">
        <f t="shared" si="127"/>
        <v>1.1033</v>
      </c>
      <c r="L139" s="12">
        <f>$L$11</f>
        <v>-0.1267</v>
      </c>
      <c r="M139" s="12">
        <f>$M$11</f>
        <v>0.2638</v>
      </c>
      <c r="O139" s="17">
        <f t="shared" si="128"/>
        <v>1.2404</v>
      </c>
      <c r="P139" s="17">
        <f t="shared" si="129"/>
        <v>-0.1861</v>
      </c>
      <c r="Q139" s="252">
        <f>Q$5</f>
        <v>0</v>
      </c>
      <c r="R139" s="17">
        <f t="shared" si="130"/>
        <v>0.027033</v>
      </c>
      <c r="S139" s="146">
        <f t="shared" si="131"/>
        <v>1.25</v>
      </c>
      <c r="V139" s="250">
        <f aca="true" t="shared" si="135" ref="V139:V145">IF(ROUND(SUM(O139:R139),4)&gt;O139,ROUND(SUM(O139:R139),4),ROUND(O139+0.005,4))</f>
        <v>1.2454</v>
      </c>
      <c r="W139" s="249">
        <f t="shared" si="132"/>
        <v>1.25</v>
      </c>
      <c r="X139" s="30">
        <f t="shared" si="133"/>
        <v>-0.0045999999999999375</v>
      </c>
      <c r="Y139">
        <f t="shared" si="134"/>
        <v>-0.0045999999999999375</v>
      </c>
    </row>
    <row r="140" spans="1:25" ht="14.25" thickBot="1" thickTop="1">
      <c r="A140" s="260"/>
      <c r="B140" s="263"/>
      <c r="C140" s="7" t="s">
        <v>16</v>
      </c>
      <c r="D140" s="13">
        <f>'CNTNR COST'!G138</f>
        <v>0.1739</v>
      </c>
      <c r="E140" s="12">
        <f>ROUND(E139/2,4)</f>
        <v>0.3446</v>
      </c>
      <c r="F140" s="12">
        <f>+$F$12</f>
        <v>0.0549</v>
      </c>
      <c r="G140" s="17">
        <f>ROUND($G$11/2,4)</f>
        <v>0</v>
      </c>
      <c r="H140" s="17">
        <f>ROUND($H$11/2,4)</f>
        <v>-0.0001</v>
      </c>
      <c r="I140" s="12">
        <f t="shared" si="126"/>
        <v>0.5733</v>
      </c>
      <c r="J140" s="12">
        <f t="shared" si="78"/>
        <v>0.020793264248704646</v>
      </c>
      <c r="K140" s="16">
        <f t="shared" si="127"/>
        <v>0.5941</v>
      </c>
      <c r="L140" s="12">
        <f>ROUND(L$11/2,4)</f>
        <v>-0.0634</v>
      </c>
      <c r="M140" s="12">
        <f>ROUND(M$11/2,4)</f>
        <v>0.1319</v>
      </c>
      <c r="O140" s="17">
        <f t="shared" si="128"/>
        <v>0.6626</v>
      </c>
      <c r="P140" s="17">
        <f t="shared" si="129"/>
        <v>-0.0994</v>
      </c>
      <c r="Q140" s="252">
        <f>ROUND(0.5*Q$5,4)</f>
        <v>0</v>
      </c>
      <c r="R140" s="17">
        <f t="shared" si="130"/>
        <v>0.014441</v>
      </c>
      <c r="S140" s="146">
        <f t="shared" si="131"/>
        <v>0.67</v>
      </c>
      <c r="V140" s="250">
        <f t="shared" si="135"/>
        <v>0.6676</v>
      </c>
      <c r="W140" s="249">
        <f t="shared" si="132"/>
        <v>0.67</v>
      </c>
      <c r="X140" s="30">
        <f t="shared" si="133"/>
        <v>-0.0024000000000000687</v>
      </c>
      <c r="Y140">
        <f t="shared" si="134"/>
        <v>-0.0024000000000000687</v>
      </c>
    </row>
    <row r="141" spans="1:25" ht="14.25" thickBot="1" thickTop="1">
      <c r="A141" s="260"/>
      <c r="B141" s="263"/>
      <c r="C141" s="7" t="s">
        <v>153</v>
      </c>
      <c r="D141" s="13">
        <f>'CNTNR COST'!G139</f>
        <v>0.1304</v>
      </c>
      <c r="E141" s="12">
        <f>ROUND(E139/32*12,4)</f>
        <v>0.2584</v>
      </c>
      <c r="F141" s="12">
        <f>+$F$13</f>
        <v>0</v>
      </c>
      <c r="G141" s="17">
        <f>ROUND($G$11/32*12,4)</f>
        <v>0</v>
      </c>
      <c r="H141" s="17">
        <f>ROUND($H$11/32*12,4)</f>
        <v>-0.0001</v>
      </c>
      <c r="I141" s="12">
        <f t="shared" si="126"/>
        <v>0.3887</v>
      </c>
      <c r="J141" s="12">
        <f t="shared" si="78"/>
        <v>0.014097927461139914</v>
      </c>
      <c r="K141" s="16">
        <f t="shared" si="127"/>
        <v>0.4028</v>
      </c>
      <c r="L141" s="12">
        <f>ROUND(L$11/32*12,4)</f>
        <v>-0.0475</v>
      </c>
      <c r="M141" s="12">
        <f>ROUND(M$11/32*12,4)</f>
        <v>0.0989</v>
      </c>
      <c r="O141" s="17">
        <f t="shared" si="128"/>
        <v>0.4542</v>
      </c>
      <c r="P141" s="17">
        <f t="shared" si="129"/>
        <v>-0.0681</v>
      </c>
      <c r="Q141" s="252">
        <f>ROUND(12/32*Q$5,4)</f>
        <v>0</v>
      </c>
      <c r="R141" s="17">
        <f t="shared" si="130"/>
        <v>0.0099</v>
      </c>
      <c r="S141" s="146">
        <f t="shared" si="131"/>
        <v>0.46</v>
      </c>
      <c r="V141" s="250">
        <f t="shared" si="135"/>
        <v>0.4592</v>
      </c>
      <c r="W141" s="249">
        <f t="shared" si="132"/>
        <v>0.46</v>
      </c>
      <c r="X141" s="30">
        <f t="shared" si="133"/>
        <v>-0.0008000000000000229</v>
      </c>
      <c r="Y141">
        <f t="shared" si="134"/>
        <v>-0.0008000000000000229</v>
      </c>
    </row>
    <row r="142" spans="1:25" ht="14.25" thickBot="1" thickTop="1">
      <c r="A142" s="260"/>
      <c r="B142" s="263"/>
      <c r="C142" s="7" t="s">
        <v>59</v>
      </c>
      <c r="D142" s="13">
        <f>'CNTNR COST'!G140</f>
        <v>0.1087</v>
      </c>
      <c r="E142" s="12">
        <f>ROUND(E139/32*10,4)</f>
        <v>0.2153</v>
      </c>
      <c r="F142" s="12">
        <f>+$F$14</f>
        <v>0</v>
      </c>
      <c r="G142" s="17">
        <f>ROUND($G$11/32*10,4)</f>
        <v>0</v>
      </c>
      <c r="H142" s="17">
        <f>ROUND($H$11/32*10,4)</f>
        <v>-0.0001</v>
      </c>
      <c r="I142" s="12">
        <f t="shared" si="126"/>
        <v>0.3239</v>
      </c>
      <c r="J142" s="12">
        <f t="shared" si="78"/>
        <v>0.011747668393782384</v>
      </c>
      <c r="K142" s="16">
        <f t="shared" si="127"/>
        <v>0.3356</v>
      </c>
      <c r="L142" s="12">
        <f>ROUND(L$11/32*10,4)</f>
        <v>-0.0396</v>
      </c>
      <c r="M142" s="12">
        <f>ROUND(M$11/32*10,4)</f>
        <v>0.0824</v>
      </c>
      <c r="O142" s="17">
        <f t="shared" si="128"/>
        <v>0.3784</v>
      </c>
      <c r="P142" s="17">
        <f t="shared" si="129"/>
        <v>-0.0568</v>
      </c>
      <c r="Q142" s="252">
        <f>ROUND(10/32*Q$5,4)</f>
        <v>0</v>
      </c>
      <c r="R142" s="17">
        <f t="shared" si="130"/>
        <v>0.008246</v>
      </c>
      <c r="S142" s="146">
        <f t="shared" si="131"/>
        <v>0.38</v>
      </c>
      <c r="V142" s="250">
        <f t="shared" si="135"/>
        <v>0.3834</v>
      </c>
      <c r="W142" s="249">
        <f t="shared" si="132"/>
        <v>0.38</v>
      </c>
      <c r="X142" s="30">
        <f t="shared" si="133"/>
        <v>0.003400000000000014</v>
      </c>
      <c r="Y142">
        <f t="shared" si="134"/>
        <v>0.003400000000000014</v>
      </c>
    </row>
    <row r="143" spans="1:25" ht="14.25" thickBot="1" thickTop="1">
      <c r="A143" s="260"/>
      <c r="B143" s="263"/>
      <c r="C143" s="7" t="s">
        <v>60</v>
      </c>
      <c r="D143" s="13">
        <f>'CNTNR COST'!G141</f>
        <v>0.087</v>
      </c>
      <c r="E143" s="12">
        <f>ROUND(E139/4,4)</f>
        <v>0.1723</v>
      </c>
      <c r="F143" s="12">
        <f>+$F$15</f>
        <v>0.0199</v>
      </c>
      <c r="G143" s="17">
        <f>ROUND($G$11/4,4)</f>
        <v>0</v>
      </c>
      <c r="H143" s="17">
        <f>ROUND($H$11/4,4)</f>
        <v>-0.0001</v>
      </c>
      <c r="I143" s="12">
        <f t="shared" si="126"/>
        <v>0.2791</v>
      </c>
      <c r="J143" s="12">
        <f t="shared" si="78"/>
        <v>0.010122797927461125</v>
      </c>
      <c r="K143" s="16">
        <f t="shared" si="127"/>
        <v>0.2892</v>
      </c>
      <c r="L143" s="12">
        <f>ROUND(L$11/4,4)</f>
        <v>-0.0317</v>
      </c>
      <c r="M143" s="12">
        <f>ROUND(M$11/4,4)</f>
        <v>0.066</v>
      </c>
      <c r="O143" s="17">
        <f t="shared" si="128"/>
        <v>0.3235</v>
      </c>
      <c r="P143" s="17">
        <f t="shared" si="129"/>
        <v>-0.0485</v>
      </c>
      <c r="Q143" s="252">
        <f>ROUND(0.25*Q$5,4)</f>
        <v>0</v>
      </c>
      <c r="R143" s="17">
        <f t="shared" si="130"/>
        <v>0.007051</v>
      </c>
      <c r="S143" s="146">
        <f t="shared" si="131"/>
        <v>0.33</v>
      </c>
      <c r="V143" s="250">
        <f t="shared" si="135"/>
        <v>0.3285</v>
      </c>
      <c r="W143" s="249">
        <f t="shared" si="132"/>
        <v>0.33</v>
      </c>
      <c r="X143" s="30">
        <f t="shared" si="133"/>
        <v>-0.0015000000000000013</v>
      </c>
      <c r="Y143">
        <f t="shared" si="134"/>
        <v>-0.0015000000000000013</v>
      </c>
    </row>
    <row r="144" spans="1:25" ht="14.25" thickBot="1" thickTop="1">
      <c r="A144" s="260"/>
      <c r="B144" s="263"/>
      <c r="C144" s="7" t="s">
        <v>61</v>
      </c>
      <c r="D144" s="13">
        <f>'CNTNR COST'!G142</f>
        <v>0.0435</v>
      </c>
      <c r="E144" s="12">
        <f>ROUND(E139/8,4)</f>
        <v>0.0861</v>
      </c>
      <c r="F144" s="12">
        <f>+$F$16</f>
        <v>0.0271</v>
      </c>
      <c r="G144" s="17">
        <f>ROUND($G$11/8,4)</f>
        <v>0</v>
      </c>
      <c r="H144" s="17">
        <f>ROUND($H$11/8,4)</f>
        <v>0</v>
      </c>
      <c r="I144" s="12">
        <f t="shared" si="126"/>
        <v>0.1567</v>
      </c>
      <c r="J144" s="12">
        <f t="shared" si="78"/>
        <v>0.0056834196891191735</v>
      </c>
      <c r="K144" s="16">
        <f t="shared" si="127"/>
        <v>0.1624</v>
      </c>
      <c r="L144" s="12">
        <f>ROUND(L$11/8,4)</f>
        <v>-0.0158</v>
      </c>
      <c r="M144" s="12">
        <f>ROUND(M$11/8,4)</f>
        <v>0.033</v>
      </c>
      <c r="O144" s="17">
        <f t="shared" si="128"/>
        <v>0.1796</v>
      </c>
      <c r="P144" s="17">
        <f t="shared" si="129"/>
        <v>-0.0269</v>
      </c>
      <c r="Q144" s="252">
        <f>ROUND(0.125*Q$5,4)</f>
        <v>0</v>
      </c>
      <c r="R144" s="17">
        <f t="shared" si="130"/>
        <v>0.003915</v>
      </c>
      <c r="S144" s="146">
        <f t="shared" si="131"/>
        <v>0.18</v>
      </c>
      <c r="V144" s="250">
        <f t="shared" si="135"/>
        <v>0.1846</v>
      </c>
      <c r="W144" s="249">
        <f t="shared" si="132"/>
        <v>0.18</v>
      </c>
      <c r="X144" s="30">
        <f t="shared" si="133"/>
        <v>0.004599999999999993</v>
      </c>
      <c r="Y144">
        <f t="shared" si="134"/>
        <v>0.004599999999999993</v>
      </c>
    </row>
    <row r="145" spans="1:25" ht="14.25" thickBot="1" thickTop="1">
      <c r="A145" s="261"/>
      <c r="B145" s="264"/>
      <c r="C145" s="7" t="s">
        <v>82</v>
      </c>
      <c r="D145" s="24">
        <f>'CNTNR COST'!G143</f>
        <v>0.3478</v>
      </c>
      <c r="E145" s="25">
        <f>E139</f>
        <v>0.6891</v>
      </c>
      <c r="F145" s="25">
        <f>+$F$17</f>
        <v>0.1195</v>
      </c>
      <c r="G145" s="27">
        <f>ROUND($G$11,6)</f>
        <v>0</v>
      </c>
      <c r="H145" s="27">
        <f>ROUND($H$11,6)</f>
        <v>-0.0002</v>
      </c>
      <c r="I145" s="25">
        <f t="shared" si="126"/>
        <v>1.1562</v>
      </c>
      <c r="J145" s="25">
        <f t="shared" si="78"/>
        <v>0.041934715025906844</v>
      </c>
      <c r="K145" s="29">
        <f t="shared" si="127"/>
        <v>1.1981</v>
      </c>
      <c r="L145" s="25">
        <f>L$11</f>
        <v>-0.1267</v>
      </c>
      <c r="M145" s="25">
        <f>M$11</f>
        <v>0.2638</v>
      </c>
      <c r="O145" s="27">
        <f t="shared" si="128"/>
        <v>1.3352</v>
      </c>
      <c r="P145" s="27">
        <f t="shared" si="129"/>
        <v>-0.2003</v>
      </c>
      <c r="Q145" s="27">
        <f>Q$5</f>
        <v>0</v>
      </c>
      <c r="R145" s="27">
        <f t="shared" si="130"/>
        <v>0.0291</v>
      </c>
      <c r="S145" s="147">
        <f t="shared" si="131"/>
        <v>1.34</v>
      </c>
      <c r="V145" s="250">
        <f t="shared" si="135"/>
        <v>1.3402</v>
      </c>
      <c r="W145" s="249">
        <f t="shared" si="132"/>
        <v>1.34</v>
      </c>
      <c r="X145" s="30">
        <f t="shared" si="133"/>
        <v>0.00019999999999997797</v>
      </c>
      <c r="Y145">
        <f t="shared" si="134"/>
        <v>0.00019999999999997797</v>
      </c>
    </row>
    <row r="146" spans="19:22" ht="13.5" thickTop="1">
      <c r="S146" s="148"/>
      <c r="V146" s="250"/>
    </row>
    <row r="147" ht="12.75">
      <c r="S147" s="148"/>
    </row>
    <row r="148" ht="12.75">
      <c r="S148" s="148"/>
    </row>
    <row r="149" ht="12.75">
      <c r="S149" s="148"/>
    </row>
    <row r="150" ht="12.75">
      <c r="S150" s="148"/>
    </row>
    <row r="151" ht="12.75">
      <c r="S151" s="148"/>
    </row>
    <row r="152" ht="12.75">
      <c r="S152" s="148"/>
    </row>
    <row r="153" ht="12.75">
      <c r="S153" s="148"/>
    </row>
    <row r="154" ht="12.75">
      <c r="S154" s="148"/>
    </row>
    <row r="155" ht="12.75">
      <c r="S155" s="148"/>
    </row>
    <row r="156" ht="12.75">
      <c r="S156" s="148"/>
    </row>
    <row r="157" ht="12.75">
      <c r="S157" s="148"/>
    </row>
    <row r="158" ht="12.75">
      <c r="S158" s="148"/>
    </row>
    <row r="159" ht="12.75">
      <c r="S159" s="148"/>
    </row>
    <row r="160" ht="12.75">
      <c r="S160" s="148"/>
    </row>
    <row r="161" ht="12.75">
      <c r="S161" s="148"/>
    </row>
    <row r="162" ht="12.75">
      <c r="S162" s="148"/>
    </row>
    <row r="163" ht="12.75">
      <c r="S163" s="148"/>
    </row>
    <row r="164" ht="12.75">
      <c r="S164" s="148"/>
    </row>
    <row r="165" ht="12.75">
      <c r="S165" s="148"/>
    </row>
    <row r="166" ht="12.75">
      <c r="S166" s="148"/>
    </row>
    <row r="167" ht="12.75">
      <c r="S167" s="148"/>
    </row>
    <row r="168" ht="12.75">
      <c r="S168" s="148"/>
    </row>
    <row r="169" ht="12.75">
      <c r="S169" s="148"/>
    </row>
    <row r="170" ht="12.75">
      <c r="S170" s="148"/>
    </row>
    <row r="171" ht="12.75">
      <c r="S171" s="148"/>
    </row>
    <row r="172" ht="12.75">
      <c r="S172" s="148"/>
    </row>
    <row r="173" ht="12.75">
      <c r="S173" s="148"/>
    </row>
    <row r="174" ht="12.75">
      <c r="S174" s="148"/>
    </row>
    <row r="175" ht="12.75">
      <c r="S175" s="148"/>
    </row>
    <row r="176" ht="12.75">
      <c r="S176" s="148"/>
    </row>
    <row r="177" ht="12.75">
      <c r="S177" s="148"/>
    </row>
    <row r="178" ht="12.75">
      <c r="S178" s="148"/>
    </row>
    <row r="179" ht="12.75">
      <c r="S179" s="148"/>
    </row>
    <row r="180" ht="12.75">
      <c r="S180" s="148"/>
    </row>
    <row r="181" ht="12.75">
      <c r="S181" s="148"/>
    </row>
    <row r="182" ht="12.75">
      <c r="S182" s="148"/>
    </row>
    <row r="183" ht="12.75">
      <c r="S183" s="148"/>
    </row>
  </sheetData>
  <sheetProtection/>
  <mergeCells count="24">
    <mergeCell ref="A39:A47"/>
    <mergeCell ref="B39:B47"/>
    <mergeCell ref="A9:A17"/>
    <mergeCell ref="B9:B17"/>
    <mergeCell ref="A19:A27"/>
    <mergeCell ref="B19:B27"/>
    <mergeCell ref="A29:A37"/>
    <mergeCell ref="B29:B37"/>
    <mergeCell ref="A49:A57"/>
    <mergeCell ref="B49:B57"/>
    <mergeCell ref="A59:A67"/>
    <mergeCell ref="B59:B67"/>
    <mergeCell ref="A79:B87"/>
    <mergeCell ref="A99:B109"/>
    <mergeCell ref="A69:A77"/>
    <mergeCell ref="B69:B77"/>
    <mergeCell ref="A111:A118"/>
    <mergeCell ref="B111:B118"/>
    <mergeCell ref="A89:B97"/>
    <mergeCell ref="A138:B145"/>
    <mergeCell ref="A120:A127"/>
    <mergeCell ref="B120:B127"/>
    <mergeCell ref="A129:A136"/>
    <mergeCell ref="B129:B136"/>
  </mergeCells>
  <printOptions gridLines="1"/>
  <pageMargins left="0.25" right="0.25" top="0.25" bottom="0.25" header="0.5" footer="0.5"/>
  <pageSetup fitToHeight="8" horizontalDpi="600" verticalDpi="600" orientation="landscape" paperSize="5" scale="82" r:id="rId1"/>
  <rowBreaks count="2" manualBreakCount="2">
    <brk id="43" max="65535" man="1"/>
    <brk id="81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41.421875" style="0" customWidth="1"/>
    <col min="2" max="2" width="12.7109375" style="0" customWidth="1"/>
    <col min="3" max="3" width="12.140625" style="0" bestFit="1" customWidth="1"/>
    <col min="4" max="4" width="9.8515625" style="0" customWidth="1"/>
    <col min="5" max="5" width="10.28125" style="0" customWidth="1"/>
    <col min="6" max="6" width="11.57421875" style="0" customWidth="1"/>
    <col min="7" max="10" width="9.421875" style="0" bestFit="1" customWidth="1"/>
    <col min="12" max="12" width="9.8515625" style="0" customWidth="1"/>
    <col min="13" max="13" width="10.28125" style="0" customWidth="1"/>
  </cols>
  <sheetData>
    <row r="1" spans="1:13" ht="33">
      <c r="A1" s="138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8.75" thickBot="1">
      <c r="B2" s="19"/>
      <c r="C2" s="19"/>
      <c r="D2" s="19"/>
      <c r="E2" s="243" t="s">
        <v>33</v>
      </c>
      <c r="F2" s="19"/>
      <c r="G2" s="19"/>
      <c r="H2" s="19"/>
      <c r="I2" s="19"/>
      <c r="J2" s="19"/>
      <c r="K2" s="19"/>
      <c r="L2" s="19"/>
      <c r="M2" s="19"/>
    </row>
    <row r="3" spans="2:13" ht="18.75" thickBot="1">
      <c r="B3" s="19"/>
      <c r="C3" s="19"/>
      <c r="D3" s="19"/>
      <c r="E3" s="243" t="s">
        <v>84</v>
      </c>
      <c r="F3" s="19"/>
      <c r="G3" s="19"/>
      <c r="H3" s="19"/>
      <c r="I3" s="151"/>
      <c r="J3" s="151"/>
      <c r="K3" s="152"/>
      <c r="L3" s="153" t="s">
        <v>127</v>
      </c>
      <c r="M3" s="153" t="s">
        <v>128</v>
      </c>
    </row>
    <row r="4" spans="2:13" ht="18.75" thickBot="1">
      <c r="B4" s="19"/>
      <c r="C4" s="19"/>
      <c r="D4" s="19"/>
      <c r="E4" s="243" t="s">
        <v>187</v>
      </c>
      <c r="F4" s="19"/>
      <c r="G4" s="19"/>
      <c r="J4" s="242" t="s">
        <v>125</v>
      </c>
      <c r="K4" s="154"/>
      <c r="L4" s="155">
        <f>Cl_1_Skim</f>
        <v>0</v>
      </c>
      <c r="M4" s="156">
        <f>Cl_2_Skim</f>
        <v>0</v>
      </c>
    </row>
    <row r="5" spans="2:13" ht="18.75" thickBot="1">
      <c r="B5" s="19"/>
      <c r="C5" s="19"/>
      <c r="D5" s="19"/>
      <c r="E5" s="243" t="s">
        <v>186</v>
      </c>
      <c r="F5" s="19"/>
      <c r="G5" s="19"/>
      <c r="J5" s="241" t="s">
        <v>126</v>
      </c>
      <c r="K5" s="149"/>
      <c r="L5" s="150">
        <f>Cl_1_BF</f>
        <v>0</v>
      </c>
      <c r="M5" s="156">
        <f>BF_DIFF</f>
        <v>0</v>
      </c>
    </row>
    <row r="6" spans="1:13" ht="35.25" thickBot="1">
      <c r="A6" s="135">
        <f>INPUT!B3</f>
        <v>0</v>
      </c>
      <c r="B6" s="42"/>
      <c r="C6" s="42"/>
      <c r="D6" s="185"/>
      <c r="E6" s="44"/>
      <c r="F6" s="45"/>
      <c r="G6" s="31"/>
      <c r="H6" s="31"/>
      <c r="I6" s="276" t="str">
        <f>INPUT!A2</f>
        <v>OGO A-993 (CRO 5)</v>
      </c>
      <c r="J6" s="276"/>
      <c r="K6" s="276"/>
      <c r="L6" s="276"/>
      <c r="M6" s="276"/>
    </row>
    <row r="7" spans="1:13" ht="15.75" thickBot="1" thickTop="1">
      <c r="A7" s="32"/>
      <c r="B7" s="32"/>
      <c r="C7" s="33" t="s">
        <v>85</v>
      </c>
      <c r="D7" s="34"/>
      <c r="E7" s="35" t="s">
        <v>86</v>
      </c>
      <c r="F7" s="36" t="s">
        <v>87</v>
      </c>
      <c r="G7" s="37"/>
      <c r="H7" s="37"/>
      <c r="I7" s="37"/>
      <c r="J7" s="37"/>
      <c r="K7" s="37"/>
      <c r="L7" s="37"/>
      <c r="M7" s="38"/>
    </row>
    <row r="8" spans="1:13" ht="16.5" thickBot="1" thickTop="1">
      <c r="A8" s="46"/>
      <c r="B8" s="46" t="s">
        <v>88</v>
      </c>
      <c r="C8" s="47" t="s">
        <v>89</v>
      </c>
      <c r="D8" s="48"/>
      <c r="E8" s="49" t="s">
        <v>90</v>
      </c>
      <c r="F8" s="50" t="s">
        <v>185</v>
      </c>
      <c r="G8" s="50" t="s">
        <v>91</v>
      </c>
      <c r="H8" s="50"/>
      <c r="I8" s="50"/>
      <c r="J8" s="50"/>
      <c r="K8" s="50"/>
      <c r="L8" s="50" t="s">
        <v>173</v>
      </c>
      <c r="M8" s="50"/>
    </row>
    <row r="9" spans="1:13" ht="16.5" thickBot="1" thickTop="1">
      <c r="A9" s="51" t="s">
        <v>93</v>
      </c>
      <c r="B9" s="51" t="s">
        <v>94</v>
      </c>
      <c r="C9" s="52" t="s">
        <v>95</v>
      </c>
      <c r="D9" s="52" t="s">
        <v>96</v>
      </c>
      <c r="E9" s="52" t="s">
        <v>97</v>
      </c>
      <c r="F9" s="52" t="s">
        <v>184</v>
      </c>
      <c r="G9" s="52" t="s">
        <v>99</v>
      </c>
      <c r="H9" s="52" t="s">
        <v>15</v>
      </c>
      <c r="I9" s="52" t="s">
        <v>16</v>
      </c>
      <c r="J9" s="52" t="s">
        <v>154</v>
      </c>
      <c r="K9" s="52" t="s">
        <v>155</v>
      </c>
      <c r="L9" s="52" t="s">
        <v>92</v>
      </c>
      <c r="M9" s="52" t="s">
        <v>100</v>
      </c>
    </row>
    <row r="10" spans="1:13" ht="15.75" thickTop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3" ht="15">
      <c r="A11" s="66" t="s">
        <v>101</v>
      </c>
      <c r="B11" s="67">
        <v>400</v>
      </c>
      <c r="C11" s="68">
        <v>3.1</v>
      </c>
      <c r="D11" s="68">
        <v>6</v>
      </c>
      <c r="E11" s="69">
        <f>DETAIL!O17</f>
        <v>0.6852</v>
      </c>
      <c r="F11" s="69">
        <f>DETAIL!O9</f>
        <v>1.956</v>
      </c>
      <c r="G11" s="69">
        <f>DETAIL!O10</f>
        <v>0.9677</v>
      </c>
      <c r="H11" s="69">
        <f>DETAIL!O11</f>
        <v>0.5346</v>
      </c>
      <c r="I11" s="69">
        <f>DETAIL!O12</f>
        <v>0.3096</v>
      </c>
      <c r="J11" s="69">
        <f>DETAIL!O13</f>
        <v>0.2269</v>
      </c>
      <c r="K11" s="69">
        <f>DETAIL!O14</f>
        <v>0.1891</v>
      </c>
      <c r="L11" s="69">
        <f>DETAIL!O15</f>
        <v>0.147</v>
      </c>
      <c r="M11" s="70">
        <f>DETAIL!O16</f>
        <v>0.1126</v>
      </c>
    </row>
    <row r="12" spans="1:13" ht="15">
      <c r="A12" s="66" t="s">
        <v>43</v>
      </c>
      <c r="B12" s="67">
        <v>800</v>
      </c>
      <c r="C12" s="68">
        <v>1.5</v>
      </c>
      <c r="D12" s="68">
        <v>3.09</v>
      </c>
      <c r="E12" s="69">
        <f>DETAIL!O27</f>
        <v>0.6856</v>
      </c>
      <c r="F12" s="69">
        <f>DETAIL!O19</f>
        <v>1.9578</v>
      </c>
      <c r="G12" s="69">
        <f>DETAIL!O20</f>
        <v>0.9686</v>
      </c>
      <c r="H12" s="69">
        <f>DETAIL!O21</f>
        <v>0.535</v>
      </c>
      <c r="I12" s="69">
        <f>DETAIL!O22</f>
        <v>0.3098</v>
      </c>
      <c r="J12" s="69">
        <f>DETAIL!O23</f>
        <v>0.2272</v>
      </c>
      <c r="K12" s="69">
        <f>DETAIL!O24</f>
        <v>0.1892</v>
      </c>
      <c r="L12" s="69">
        <f>DETAIL!O25</f>
        <v>0.1471</v>
      </c>
      <c r="M12" s="70">
        <f>DETAIL!O26</f>
        <v>0.1127</v>
      </c>
    </row>
    <row r="13" spans="1:13" ht="15">
      <c r="A13" s="56" t="s">
        <v>102</v>
      </c>
      <c r="B13" s="57">
        <v>900</v>
      </c>
      <c r="C13" s="58">
        <v>0.5</v>
      </c>
      <c r="D13" s="58">
        <v>1.49</v>
      </c>
      <c r="E13" s="59">
        <f>DETAIL!O37</f>
        <v>0.6856</v>
      </c>
      <c r="F13" s="59">
        <f>DETAIL!O29</f>
        <v>1.9578</v>
      </c>
      <c r="G13" s="59">
        <f>DETAIL!O30</f>
        <v>0.9686</v>
      </c>
      <c r="H13" s="59">
        <f>DETAIL!O31</f>
        <v>0.535</v>
      </c>
      <c r="I13" s="59">
        <f>DETAIL!O32</f>
        <v>0.3098</v>
      </c>
      <c r="J13" s="59">
        <f>DETAIL!O33</f>
        <v>0.2272</v>
      </c>
      <c r="K13" s="59">
        <f>DETAIL!O34</f>
        <v>0.1892</v>
      </c>
      <c r="L13" s="59">
        <f>DETAIL!O35</f>
        <v>0.1471</v>
      </c>
      <c r="M13" s="60">
        <f>DETAIL!O36</f>
        <v>0.1127</v>
      </c>
    </row>
    <row r="14" spans="1:13" ht="15">
      <c r="A14" s="61"/>
      <c r="B14" s="62"/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5"/>
    </row>
    <row r="15" spans="1:13" ht="15">
      <c r="A15" s="56" t="s">
        <v>45</v>
      </c>
      <c r="B15" s="57">
        <v>1200</v>
      </c>
      <c r="C15" s="58">
        <v>0</v>
      </c>
      <c r="D15" s="58">
        <v>0.49</v>
      </c>
      <c r="E15" s="59">
        <f>DETAIL!O47</f>
        <v>0.6865</v>
      </c>
      <c r="F15" s="59">
        <f>DETAIL!O39</f>
        <v>1.9615</v>
      </c>
      <c r="G15" s="59">
        <f>DETAIL!O40</f>
        <v>0.9705</v>
      </c>
      <c r="H15" s="59">
        <f>DETAIL!O41</f>
        <v>0.536</v>
      </c>
      <c r="I15" s="59">
        <f>DETAIL!O42</f>
        <v>0.3103</v>
      </c>
      <c r="J15" s="59">
        <f>DETAIL!O43</f>
        <v>0.2275</v>
      </c>
      <c r="K15" s="59">
        <f>DETAIL!O44</f>
        <v>0.1895</v>
      </c>
      <c r="L15" s="59">
        <f>DETAIL!O45</f>
        <v>0.1474</v>
      </c>
      <c r="M15" s="60">
        <f>DETAIL!O46</f>
        <v>0.1128</v>
      </c>
    </row>
    <row r="16" spans="1:13" ht="15">
      <c r="A16" s="61"/>
      <c r="B16" s="62"/>
      <c r="C16" s="63"/>
      <c r="D16" s="63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15">
      <c r="A17" s="66" t="s">
        <v>24</v>
      </c>
      <c r="B17" s="67">
        <v>500</v>
      </c>
      <c r="C17" s="68">
        <v>3.1</v>
      </c>
      <c r="D17" s="68">
        <v>6</v>
      </c>
      <c r="E17" s="69">
        <f>DETAIL!O57</f>
        <v>0.6846</v>
      </c>
      <c r="F17" s="69">
        <f>DETAIL!O49</f>
        <v>1.9537</v>
      </c>
      <c r="G17" s="69">
        <f>DETAIL!O50</f>
        <v>0.9665</v>
      </c>
      <c r="H17" s="69">
        <f>DETAIL!O51</f>
        <v>0.534</v>
      </c>
      <c r="I17" s="69">
        <f>DETAIL!O52</f>
        <v>0.3093</v>
      </c>
      <c r="J17" s="69">
        <f>DETAIL!O53</f>
        <v>0.2267</v>
      </c>
      <c r="K17" s="69">
        <f>DETAIL!O54</f>
        <v>0.1889</v>
      </c>
      <c r="L17" s="69">
        <f>DETAIL!O55</f>
        <v>0.1469</v>
      </c>
      <c r="M17" s="70">
        <f>DETAIL!O56</f>
        <v>0.1125</v>
      </c>
    </row>
    <row r="18" spans="1:13" ht="15">
      <c r="A18" s="66" t="s">
        <v>46</v>
      </c>
      <c r="B18" s="67">
        <v>600</v>
      </c>
      <c r="C18" s="68">
        <v>0.5</v>
      </c>
      <c r="D18" s="68">
        <v>3.09</v>
      </c>
      <c r="E18" s="69">
        <f>DETAIL!O67</f>
        <v>0.6846</v>
      </c>
      <c r="F18" s="69">
        <f>DETAIL!O59</f>
        <v>1.9537</v>
      </c>
      <c r="G18" s="69">
        <f>DETAIL!O60</f>
        <v>0.9665</v>
      </c>
      <c r="H18" s="69">
        <f>DETAIL!O61</f>
        <v>0.534</v>
      </c>
      <c r="I18" s="69">
        <f>DETAIL!O62</f>
        <v>0.3093</v>
      </c>
      <c r="J18" s="69">
        <f>DETAIL!O63</f>
        <v>0.2267</v>
      </c>
      <c r="K18" s="69">
        <f>DETAIL!O64</f>
        <v>0.1889</v>
      </c>
      <c r="L18" s="69">
        <f>DETAIL!O65</f>
        <v>0.1469</v>
      </c>
      <c r="M18" s="70">
        <f>DETAIL!O66</f>
        <v>0.1125</v>
      </c>
    </row>
    <row r="19" spans="1:13" ht="15">
      <c r="A19" s="56" t="s">
        <v>182</v>
      </c>
      <c r="B19" s="67">
        <v>700</v>
      </c>
      <c r="C19" s="68">
        <v>0</v>
      </c>
      <c r="D19" s="68">
        <v>0.49</v>
      </c>
      <c r="E19" s="69">
        <f>DETAIL!O77</f>
        <v>0.6846</v>
      </c>
      <c r="F19" s="69">
        <f>DETAIL!O69</f>
        <v>1.9537</v>
      </c>
      <c r="G19" s="69">
        <f>DETAIL!O70</f>
        <v>0.9665</v>
      </c>
      <c r="H19" s="69">
        <f>DETAIL!O71</f>
        <v>0.534</v>
      </c>
      <c r="I19" s="69">
        <f>DETAIL!O72</f>
        <v>0.3093</v>
      </c>
      <c r="J19" s="69">
        <f>DETAIL!O73</f>
        <v>0.2267</v>
      </c>
      <c r="K19" s="69">
        <f>DETAIL!O74</f>
        <v>0.1889</v>
      </c>
      <c r="L19" s="69">
        <f>DETAIL!O75</f>
        <v>0.1469</v>
      </c>
      <c r="M19" s="70">
        <f>DETAIL!O76</f>
        <v>0.1125</v>
      </c>
    </row>
    <row r="20" spans="1:13" ht="15">
      <c r="A20" s="61"/>
      <c r="B20" s="62"/>
      <c r="C20" s="63"/>
      <c r="D20" s="63"/>
      <c r="E20" s="64"/>
      <c r="F20" s="64"/>
      <c r="G20" s="64"/>
      <c r="H20" s="64"/>
      <c r="I20" s="64"/>
      <c r="J20" s="64"/>
      <c r="K20" s="64"/>
      <c r="L20" s="64"/>
      <c r="M20" s="65"/>
    </row>
    <row r="21" spans="1:13" ht="15">
      <c r="A21" s="66" t="s">
        <v>26</v>
      </c>
      <c r="B21" s="67">
        <v>1000</v>
      </c>
      <c r="C21" s="68">
        <v>0</v>
      </c>
      <c r="D21" s="68">
        <v>6</v>
      </c>
      <c r="E21" s="69">
        <f>DETAIL!O87</f>
        <v>0.695</v>
      </c>
      <c r="F21" s="69">
        <f>DETAIL!O79</f>
        <v>1.9953</v>
      </c>
      <c r="G21" s="69">
        <f>DETAIL!O80</f>
        <v>0.9874</v>
      </c>
      <c r="H21" s="69">
        <f>DETAIL!O81</f>
        <v>0.5445</v>
      </c>
      <c r="I21" s="69">
        <f>DETAIL!O82</f>
        <v>0.3145</v>
      </c>
      <c r="J21" s="69">
        <f>DETAIL!O83</f>
        <v>0.2306</v>
      </c>
      <c r="K21" s="69">
        <f>DETAIL!O84</f>
        <v>0.1922</v>
      </c>
      <c r="L21" s="69">
        <f>DETAIL!O85</f>
        <v>0.1495</v>
      </c>
      <c r="M21" s="70">
        <f>DETAIL!O86</f>
        <v>0.1139</v>
      </c>
    </row>
    <row r="22" spans="1:13" ht="15">
      <c r="A22" s="56" t="s">
        <v>134</v>
      </c>
      <c r="B22" s="57">
        <v>510</v>
      </c>
      <c r="C22" s="58">
        <v>0</v>
      </c>
      <c r="D22" s="58">
        <v>17.99</v>
      </c>
      <c r="E22" s="59">
        <f>DETAIL!O97</f>
        <v>0.8839</v>
      </c>
      <c r="F22" s="59">
        <f>DETAIL!O89</f>
        <v>2.7512</v>
      </c>
      <c r="G22" s="59">
        <f>DETAIL!O90</f>
        <v>1.3653</v>
      </c>
      <c r="H22" s="59">
        <f>DETAIL!O91</f>
        <v>0.7334</v>
      </c>
      <c r="I22" s="59">
        <f>DETAIL!O92</f>
        <v>0.409</v>
      </c>
      <c r="J22" s="59">
        <f>DETAIL!O93</f>
        <v>0.3015</v>
      </c>
      <c r="K22" s="59">
        <f>DETAIL!O94</f>
        <v>0.2512</v>
      </c>
      <c r="L22" s="59">
        <f>DETAIL!O95</f>
        <v>0.1968</v>
      </c>
      <c r="M22" s="60">
        <f>DETAIL!O96</f>
        <v>0.1375</v>
      </c>
    </row>
    <row r="23" spans="1:13" ht="15">
      <c r="A23" s="61"/>
      <c r="B23" s="62"/>
      <c r="C23" s="63"/>
      <c r="D23" s="63"/>
      <c r="E23" s="64"/>
      <c r="F23" s="64"/>
      <c r="G23" s="64"/>
      <c r="H23" s="64"/>
      <c r="I23" s="64"/>
      <c r="J23" s="64"/>
      <c r="K23" s="64"/>
      <c r="L23" s="64"/>
      <c r="M23" s="65"/>
    </row>
    <row r="24" spans="1:13" ht="15">
      <c r="A24" s="56" t="s">
        <v>103</v>
      </c>
      <c r="B24" s="57">
        <v>1500</v>
      </c>
      <c r="C24" s="58">
        <v>6.01</v>
      </c>
      <c r="D24" s="58">
        <v>17.99</v>
      </c>
      <c r="E24" s="59">
        <f>DETAIL!O106</f>
        <v>0.8855</v>
      </c>
      <c r="F24" s="59"/>
      <c r="G24" s="59">
        <f>DETAIL!O99</f>
        <v>1.3684</v>
      </c>
      <c r="H24" s="59">
        <f>DETAIL!O100</f>
        <v>0.7349</v>
      </c>
      <c r="I24" s="59">
        <f>DETAIL!O101</f>
        <v>0.4098</v>
      </c>
      <c r="J24" s="59">
        <f>DETAIL!O102</f>
        <v>0.3021</v>
      </c>
      <c r="K24" s="59">
        <f>DETAIL!O103</f>
        <v>0.2517</v>
      </c>
      <c r="L24" s="59">
        <f>DETAIL!O104</f>
        <v>0.1971</v>
      </c>
      <c r="M24" s="60">
        <f>DETAIL!O105</f>
        <v>0.1377</v>
      </c>
    </row>
    <row r="25" spans="1:13" ht="15">
      <c r="A25" s="61"/>
      <c r="B25" s="62"/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5"/>
    </row>
    <row r="26" spans="1:13" ht="15">
      <c r="A26" s="66" t="s">
        <v>67</v>
      </c>
      <c r="B26" s="67">
        <v>1700</v>
      </c>
      <c r="C26" s="68">
        <v>18</v>
      </c>
      <c r="D26" s="68">
        <v>29.99</v>
      </c>
      <c r="E26" s="69">
        <f>DETAIL!O118</f>
        <v>0.8862</v>
      </c>
      <c r="F26" s="69"/>
      <c r="G26" s="69">
        <f>DETAIL!O111</f>
        <v>1.3698</v>
      </c>
      <c r="H26" s="69">
        <f>DETAIL!O112</f>
        <v>0.7356</v>
      </c>
      <c r="I26" s="69">
        <f>DETAIL!O113</f>
        <v>0.4102</v>
      </c>
      <c r="J26" s="69">
        <f>DETAIL!O114</f>
        <v>0.3024</v>
      </c>
      <c r="K26" s="69">
        <f>DETAIL!O115</f>
        <v>0.2519</v>
      </c>
      <c r="L26" s="69">
        <f>DETAIL!O116</f>
        <v>0.1973</v>
      </c>
      <c r="M26" s="70">
        <f>DETAIL!O117</f>
        <v>0.1378</v>
      </c>
    </row>
    <row r="27" spans="1:13" ht="15">
      <c r="A27" s="66" t="s">
        <v>50</v>
      </c>
      <c r="B27" s="67">
        <v>1800</v>
      </c>
      <c r="C27" s="68">
        <v>30</v>
      </c>
      <c r="D27" s="68">
        <v>35.99</v>
      </c>
      <c r="E27" s="69">
        <f>DETAIL!O127</f>
        <v>0.8862</v>
      </c>
      <c r="F27" s="69"/>
      <c r="G27" s="69">
        <f>DETAIL!O120</f>
        <v>1.3698</v>
      </c>
      <c r="H27" s="69">
        <f>DETAIL!O121</f>
        <v>0.7356</v>
      </c>
      <c r="I27" s="69">
        <f>DETAIL!O122</f>
        <v>0.4102</v>
      </c>
      <c r="J27" s="69">
        <f>DETAIL!O123</f>
        <v>0.3024</v>
      </c>
      <c r="K27" s="69">
        <f>DETAIL!O124</f>
        <v>0.2519</v>
      </c>
      <c r="L27" s="69">
        <f>DETAIL!O125</f>
        <v>0.1973</v>
      </c>
      <c r="M27" s="70">
        <f>DETAIL!O126</f>
        <v>0.1378</v>
      </c>
    </row>
    <row r="28" spans="1:13" ht="15">
      <c r="A28" s="56" t="s">
        <v>51</v>
      </c>
      <c r="B28" s="57">
        <v>1900</v>
      </c>
      <c r="C28" s="58">
        <v>36</v>
      </c>
      <c r="D28" s="58">
        <v>50</v>
      </c>
      <c r="E28" s="59">
        <f>DETAIL!O136</f>
        <v>0.8862</v>
      </c>
      <c r="F28" s="59"/>
      <c r="G28" s="59">
        <f>DETAIL!O129</f>
        <v>1.3698</v>
      </c>
      <c r="H28" s="59">
        <f>DETAIL!O130</f>
        <v>0.7356</v>
      </c>
      <c r="I28" s="59">
        <f>DETAIL!O131</f>
        <v>0.4102</v>
      </c>
      <c r="J28" s="59">
        <f>DETAIL!O132</f>
        <v>0.3024</v>
      </c>
      <c r="K28" s="59">
        <f>DETAIL!O133</f>
        <v>0.2519</v>
      </c>
      <c r="L28" s="59">
        <f>DETAIL!O134</f>
        <v>0.1973</v>
      </c>
      <c r="M28" s="60">
        <f>DETAIL!O135</f>
        <v>0.1378</v>
      </c>
    </row>
    <row r="29" spans="1:13" ht="15">
      <c r="A29" s="61"/>
      <c r="B29" s="62"/>
      <c r="C29" s="63"/>
      <c r="D29" s="63"/>
      <c r="E29" s="240" t="str">
        <f>("$")&amp;(FIXED(E30/2.1275,4)&amp;" / LB.")</f>
        <v>$0.6276 / LB.</v>
      </c>
      <c r="F29" s="64"/>
      <c r="G29" s="64"/>
      <c r="H29" s="64"/>
      <c r="I29" s="64"/>
      <c r="J29" s="64"/>
      <c r="K29" s="64"/>
      <c r="L29" s="64"/>
      <c r="M29" s="65"/>
    </row>
    <row r="30" spans="1:13" ht="15.75" thickBot="1">
      <c r="A30" s="71" t="s">
        <v>104</v>
      </c>
      <c r="B30" s="72">
        <v>1600</v>
      </c>
      <c r="C30" s="73">
        <v>0</v>
      </c>
      <c r="D30" s="73">
        <v>29.99</v>
      </c>
      <c r="E30" s="74">
        <f>DETAIL!O145</f>
        <v>1.3352</v>
      </c>
      <c r="F30" s="74"/>
      <c r="G30" s="74">
        <f>DETAIL!O138</f>
        <v>2.3794</v>
      </c>
      <c r="H30" s="74">
        <f>DETAIL!O139</f>
        <v>1.2404</v>
      </c>
      <c r="I30" s="74">
        <f>DETAIL!O140</f>
        <v>0.6626</v>
      </c>
      <c r="J30" s="74">
        <f>DETAIL!O141</f>
        <v>0.4542</v>
      </c>
      <c r="K30" s="74">
        <f>DETAIL!O142</f>
        <v>0.3784</v>
      </c>
      <c r="L30" s="74">
        <f>DETAIL!O143</f>
        <v>0.3235</v>
      </c>
      <c r="M30" s="75">
        <f>DETAIL!O144</f>
        <v>0.1796</v>
      </c>
    </row>
    <row r="31" spans="1:13" ht="15.75" thickTop="1">
      <c r="A31" s="76" t="s">
        <v>105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5">
      <c r="A32" s="76" t="s">
        <v>106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5">
      <c r="A33" s="76" t="s">
        <v>107</v>
      </c>
      <c r="B33" s="76" t="s">
        <v>108</v>
      </c>
      <c r="C33" s="77">
        <f>DETAIL!O107</f>
        <v>0.0162</v>
      </c>
      <c r="D33" s="277">
        <f>C33*400</f>
        <v>6.4799999999999995</v>
      </c>
      <c r="E33" s="277"/>
      <c r="G33" s="76"/>
      <c r="H33" s="76"/>
      <c r="I33" s="77"/>
      <c r="J33" s="76"/>
      <c r="K33" s="76"/>
      <c r="L33" s="76"/>
      <c r="M33" s="76"/>
    </row>
    <row r="34" spans="2:13" ht="15">
      <c r="B34" s="76" t="s">
        <v>109</v>
      </c>
      <c r="C34" s="77">
        <f>DETAIL!O108</f>
        <v>0.0215</v>
      </c>
      <c r="D34" s="278">
        <f>C34*300</f>
        <v>6.449999999999999</v>
      </c>
      <c r="E34" s="278"/>
      <c r="G34" s="76"/>
      <c r="H34" s="76"/>
      <c r="I34" s="76"/>
      <c r="J34" s="76"/>
      <c r="K34" s="76"/>
      <c r="L34" s="76"/>
      <c r="M34" s="76"/>
    </row>
    <row r="35" spans="1:13" ht="15">
      <c r="A35" s="76" t="s">
        <v>110</v>
      </c>
      <c r="B35" s="76" t="s">
        <v>111</v>
      </c>
      <c r="C35" s="244">
        <f>ROUND(E30/2.1275*5,4)</f>
        <v>3.138</v>
      </c>
      <c r="E35" s="246" t="s">
        <v>188</v>
      </c>
      <c r="F35" s="245">
        <f>ROUND(E30/2.1275*10,4)</f>
        <v>6.2759</v>
      </c>
      <c r="G35" s="76"/>
      <c r="H35" s="76"/>
      <c r="I35" s="76"/>
      <c r="J35" s="76"/>
      <c r="K35" s="76"/>
      <c r="L35" s="76"/>
      <c r="M35" s="76"/>
    </row>
    <row r="36" spans="1:13" ht="15">
      <c r="A36" s="76" t="str">
        <f>CONCATENATE("    /5/    ADD $",INPUT!B29," WHEN SOLD IN RIGID PLASTIC CONTAINER")</f>
        <v>    /5/    ADD $ WHEN SOLD IN RIGID PLASTIC CONTAINER</v>
      </c>
      <c r="B36" s="76"/>
      <c r="C36" s="77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5">
      <c r="A37" s="76" t="s">
        <v>177</v>
      </c>
      <c r="B37" s="78">
        <f>STOP_CHARGE</f>
        <v>0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4:13" ht="15"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ht="15">
      <c r="A39" s="76"/>
    </row>
    <row r="40" spans="1:13" ht="34.5">
      <c r="A40" s="40" t="s">
        <v>83</v>
      </c>
      <c r="B40" s="79"/>
      <c r="C40" s="79"/>
      <c r="D40" s="79"/>
      <c r="E40" s="79"/>
      <c r="F40" s="79"/>
      <c r="G40" s="19"/>
      <c r="H40" s="19"/>
      <c r="I40" s="19"/>
      <c r="J40" s="19"/>
      <c r="K40" s="19"/>
      <c r="L40" s="19"/>
      <c r="M40" s="19"/>
    </row>
    <row r="41" spans="1:13" ht="18">
      <c r="A41" s="41" t="s">
        <v>33</v>
      </c>
      <c r="B41" s="79"/>
      <c r="C41" s="79"/>
      <c r="D41" s="79"/>
      <c r="E41" s="79"/>
      <c r="F41" s="79"/>
      <c r="G41" s="19"/>
      <c r="H41" s="19"/>
      <c r="I41" s="19"/>
      <c r="J41" s="19"/>
      <c r="K41" s="19"/>
      <c r="L41" s="19"/>
      <c r="M41" s="19"/>
    </row>
    <row r="42" spans="1:13" ht="18">
      <c r="A42" s="41" t="s">
        <v>84</v>
      </c>
      <c r="B42" s="79"/>
      <c r="C42" s="79"/>
      <c r="D42" s="79"/>
      <c r="E42" s="79"/>
      <c r="F42" s="79"/>
      <c r="G42" s="19"/>
      <c r="H42" s="19"/>
      <c r="I42" s="19"/>
      <c r="J42" s="19"/>
      <c r="K42" s="19"/>
      <c r="L42" s="19"/>
      <c r="M42" s="19"/>
    </row>
    <row r="43" spans="1:13" ht="18">
      <c r="A43" s="41" t="s">
        <v>112</v>
      </c>
      <c r="B43" s="79"/>
      <c r="C43" s="79"/>
      <c r="D43" s="79"/>
      <c r="E43" s="79"/>
      <c r="F43" s="79"/>
      <c r="G43" s="19"/>
      <c r="H43" s="19"/>
      <c r="I43" s="19"/>
      <c r="J43" s="19"/>
      <c r="K43" s="19"/>
      <c r="L43" s="19"/>
      <c r="M43" s="19"/>
    </row>
    <row r="44" spans="1:13" ht="18">
      <c r="A44" s="41" t="s">
        <v>113</v>
      </c>
      <c r="B44" s="79"/>
      <c r="C44" s="79"/>
      <c r="D44" s="79"/>
      <c r="E44" s="79"/>
      <c r="F44" s="79"/>
      <c r="G44" s="19"/>
      <c r="H44" s="19"/>
      <c r="I44" s="19"/>
      <c r="J44" s="19"/>
      <c r="K44" s="19"/>
      <c r="L44" s="19"/>
      <c r="M44" s="19"/>
    </row>
    <row r="45" spans="1:13" ht="35.25" thickBot="1">
      <c r="A45" s="135">
        <f>INPUT!B3</f>
        <v>0</v>
      </c>
      <c r="B45" s="42"/>
      <c r="C45" s="42" t="s">
        <v>114</v>
      </c>
      <c r="D45" s="43"/>
      <c r="E45" s="44"/>
      <c r="F45" s="45"/>
      <c r="G45" s="31"/>
      <c r="H45" s="31"/>
      <c r="I45" s="193" t="str">
        <f>I6</f>
        <v>OGO A-993 (CRO 5)</v>
      </c>
      <c r="J45" s="80"/>
      <c r="K45" s="44"/>
      <c r="L45" s="45"/>
      <c r="M45" s="45"/>
    </row>
    <row r="46" spans="1:13" ht="16.5" thickBot="1" thickTop="1">
      <c r="A46" s="81"/>
      <c r="B46" s="81"/>
      <c r="C46" s="82" t="s">
        <v>85</v>
      </c>
      <c r="D46" s="83"/>
      <c r="E46" s="50" t="s">
        <v>86</v>
      </c>
      <c r="F46" s="84" t="s">
        <v>87</v>
      </c>
      <c r="G46" s="85"/>
      <c r="H46" s="85"/>
      <c r="I46" s="85"/>
      <c r="J46" s="85"/>
      <c r="K46" s="85"/>
      <c r="L46" s="85"/>
      <c r="M46" s="86"/>
    </row>
    <row r="47" spans="1:13" ht="16.5" thickBot="1" thickTop="1">
      <c r="A47" s="46"/>
      <c r="B47" s="46" t="s">
        <v>88</v>
      </c>
      <c r="C47" s="47" t="s">
        <v>115</v>
      </c>
      <c r="D47" s="48"/>
      <c r="E47" s="49" t="s">
        <v>90</v>
      </c>
      <c r="F47" s="50"/>
      <c r="G47" s="50" t="s">
        <v>91</v>
      </c>
      <c r="H47" s="52"/>
      <c r="I47" s="52"/>
      <c r="J47" s="49"/>
      <c r="K47" s="50"/>
      <c r="L47" s="192" t="s">
        <v>173</v>
      </c>
      <c r="M47" s="50"/>
    </row>
    <row r="48" spans="1:13" ht="16.5" thickBot="1" thickTop="1">
      <c r="A48" s="51" t="s">
        <v>93</v>
      </c>
      <c r="B48" s="51" t="s">
        <v>94</v>
      </c>
      <c r="C48" s="52" t="s">
        <v>95</v>
      </c>
      <c r="D48" s="52" t="s">
        <v>96</v>
      </c>
      <c r="E48" s="52" t="s">
        <v>97</v>
      </c>
      <c r="F48" s="52" t="s">
        <v>98</v>
      </c>
      <c r="G48" s="52" t="s">
        <v>99</v>
      </c>
      <c r="H48" s="52" t="s">
        <v>15</v>
      </c>
      <c r="I48" s="52" t="s">
        <v>16</v>
      </c>
      <c r="J48" s="52" t="s">
        <v>154</v>
      </c>
      <c r="K48" s="52" t="s">
        <v>155</v>
      </c>
      <c r="L48" s="52" t="s">
        <v>92</v>
      </c>
      <c r="M48" s="52" t="s">
        <v>100</v>
      </c>
    </row>
    <row r="49" spans="1:13" ht="15.75" thickTop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</row>
    <row r="50" spans="1:13" ht="15">
      <c r="A50" s="66" t="s">
        <v>101</v>
      </c>
      <c r="B50" s="67">
        <v>400</v>
      </c>
      <c r="C50" s="68">
        <v>3.1</v>
      </c>
      <c r="D50" s="68">
        <v>6</v>
      </c>
      <c r="E50" s="68">
        <f>DETAIL!S17</f>
        <v>0.69</v>
      </c>
      <c r="F50" s="68">
        <f>DETAIL!S9</f>
        <v>1.96</v>
      </c>
      <c r="G50" s="68">
        <f>DETAIL!S10</f>
        <v>0.97</v>
      </c>
      <c r="H50" s="68">
        <f>DETAIL!S11</f>
        <v>0.54</v>
      </c>
      <c r="I50" s="68">
        <f>DETAIL!S12</f>
        <v>0.31</v>
      </c>
      <c r="J50" s="68">
        <f>DETAIL!S13</f>
        <v>0.23</v>
      </c>
      <c r="K50" s="68">
        <f>DETAIL!S14</f>
        <v>0.19</v>
      </c>
      <c r="L50" s="68">
        <f>DETAIL!S15</f>
        <v>0.15</v>
      </c>
      <c r="M50" s="89">
        <f>DETAIL!S16</f>
        <v>0.12</v>
      </c>
    </row>
    <row r="51" spans="1:13" ht="15">
      <c r="A51" s="66" t="s">
        <v>43</v>
      </c>
      <c r="B51" s="67">
        <v>800</v>
      </c>
      <c r="C51" s="68">
        <v>1.5</v>
      </c>
      <c r="D51" s="68">
        <v>3.09</v>
      </c>
      <c r="E51" s="68">
        <f>DETAIL!S27</f>
        <v>0.69</v>
      </c>
      <c r="F51" s="68">
        <f>DETAIL!S19</f>
        <v>1.96</v>
      </c>
      <c r="G51" s="68">
        <f>DETAIL!S20</f>
        <v>0.97</v>
      </c>
      <c r="H51" s="68">
        <f>DETAIL!S21</f>
        <v>0.54</v>
      </c>
      <c r="I51" s="68">
        <f>DETAIL!S22</f>
        <v>0.31</v>
      </c>
      <c r="J51" s="68">
        <f>DETAIL!S23</f>
        <v>0.23</v>
      </c>
      <c r="K51" s="68">
        <f>DETAIL!S24</f>
        <v>0.19</v>
      </c>
      <c r="L51" s="68">
        <f>DETAIL!S25</f>
        <v>0.15</v>
      </c>
      <c r="M51" s="89">
        <f>DETAIL!S26</f>
        <v>0.12</v>
      </c>
    </row>
    <row r="52" spans="1:13" ht="15">
      <c r="A52" s="56" t="s">
        <v>102</v>
      </c>
      <c r="B52" s="57">
        <v>900</v>
      </c>
      <c r="C52" s="58">
        <v>0.5</v>
      </c>
      <c r="D52" s="58">
        <v>1.49</v>
      </c>
      <c r="E52" s="58">
        <f>DETAIL!S37</f>
        <v>0.69</v>
      </c>
      <c r="F52" s="58">
        <f>DETAIL!S29</f>
        <v>1.96</v>
      </c>
      <c r="G52" s="58">
        <f>DETAIL!S30</f>
        <v>0.97</v>
      </c>
      <c r="H52" s="58">
        <f>DETAIL!S31</f>
        <v>0.54</v>
      </c>
      <c r="I52" s="58">
        <f>DETAIL!S32</f>
        <v>0.31</v>
      </c>
      <c r="J52" s="58">
        <f>DETAIL!S33</f>
        <v>0.23</v>
      </c>
      <c r="K52" s="58">
        <f>DETAIL!S34</f>
        <v>0.19</v>
      </c>
      <c r="L52" s="58">
        <f>DETAIL!S35</f>
        <v>0.15</v>
      </c>
      <c r="M52" s="87">
        <f>DETAIL!S36</f>
        <v>0.12</v>
      </c>
    </row>
    <row r="53" spans="1:13" ht="15">
      <c r="A53" s="61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88"/>
    </row>
    <row r="54" spans="1:13" ht="15">
      <c r="A54" s="56" t="s">
        <v>45</v>
      </c>
      <c r="B54" s="57">
        <v>1200</v>
      </c>
      <c r="C54" s="58">
        <v>0</v>
      </c>
      <c r="D54" s="58">
        <v>0.49</v>
      </c>
      <c r="E54" s="58">
        <f>DETAIL!S47</f>
        <v>0.69</v>
      </c>
      <c r="F54" s="58">
        <f>DETAIL!S39</f>
        <v>1.97</v>
      </c>
      <c r="G54" s="58">
        <f>DETAIL!S40</f>
        <v>0.98</v>
      </c>
      <c r="H54" s="58">
        <f>DETAIL!S41</f>
        <v>0.54</v>
      </c>
      <c r="I54" s="58">
        <f>DETAIL!S42</f>
        <v>0.32</v>
      </c>
      <c r="J54" s="58">
        <f>DETAIL!S43</f>
        <v>0.23</v>
      </c>
      <c r="K54" s="58">
        <f>DETAIL!S44</f>
        <v>0.19</v>
      </c>
      <c r="L54" s="58">
        <f>DETAIL!S45</f>
        <v>0.15</v>
      </c>
      <c r="M54" s="87">
        <f>DETAIL!S46</f>
        <v>0.12</v>
      </c>
    </row>
    <row r="55" spans="1:13" ht="15">
      <c r="A55" s="61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88"/>
    </row>
    <row r="56" spans="1:13" ht="15">
      <c r="A56" s="66" t="s">
        <v>24</v>
      </c>
      <c r="B56" s="67">
        <v>500</v>
      </c>
      <c r="C56" s="68">
        <v>3.1</v>
      </c>
      <c r="D56" s="68">
        <v>6</v>
      </c>
      <c r="E56" s="68">
        <f>DETAIL!S57</f>
        <v>0.69</v>
      </c>
      <c r="F56" s="68">
        <f>DETAIL!S49</f>
        <v>1.96</v>
      </c>
      <c r="G56" s="68">
        <f>DETAIL!S50</f>
        <v>0.97</v>
      </c>
      <c r="H56" s="68">
        <f>DETAIL!S51</f>
        <v>0.54</v>
      </c>
      <c r="I56" s="68">
        <f>DETAIL!S52</f>
        <v>0.31</v>
      </c>
      <c r="J56" s="68">
        <f>DETAIL!S53</f>
        <v>0.23</v>
      </c>
      <c r="K56" s="68">
        <f>DETAIL!S54</f>
        <v>0.19</v>
      </c>
      <c r="L56" s="68">
        <f>DETAIL!S55</f>
        <v>0.15</v>
      </c>
      <c r="M56" s="89">
        <f>DETAIL!S56</f>
        <v>0.12</v>
      </c>
    </row>
    <row r="57" spans="1:13" ht="15">
      <c r="A57" s="66" t="s">
        <v>46</v>
      </c>
      <c r="B57" s="67">
        <v>600</v>
      </c>
      <c r="C57" s="68">
        <v>0.5</v>
      </c>
      <c r="D57" s="68">
        <v>3.1</v>
      </c>
      <c r="E57" s="68">
        <f>DETAIL!S67</f>
        <v>0.69</v>
      </c>
      <c r="F57" s="68">
        <f>DETAIL!S59</f>
        <v>1.96</v>
      </c>
      <c r="G57" s="68">
        <f>DETAIL!S60</f>
        <v>0.97</v>
      </c>
      <c r="H57" s="68">
        <f>DETAIL!S61</f>
        <v>0.54</v>
      </c>
      <c r="I57" s="68">
        <f>DETAIL!S62</f>
        <v>0.31</v>
      </c>
      <c r="J57" s="68">
        <f>DETAIL!S63</f>
        <v>0.23</v>
      </c>
      <c r="K57" s="68">
        <f>DETAIL!S64</f>
        <v>0.19</v>
      </c>
      <c r="L57" s="68">
        <f>DETAIL!S65</f>
        <v>0.15</v>
      </c>
      <c r="M57" s="89">
        <f>DETAIL!S66</f>
        <v>0.12</v>
      </c>
    </row>
    <row r="58" spans="1:13" ht="15">
      <c r="A58" s="66" t="s">
        <v>182</v>
      </c>
      <c r="B58" s="67">
        <v>700</v>
      </c>
      <c r="C58" s="68">
        <v>0</v>
      </c>
      <c r="D58" s="68">
        <v>0.49</v>
      </c>
      <c r="E58" s="68">
        <f>DETAIL!S77</f>
        <v>0.69</v>
      </c>
      <c r="F58" s="68">
        <f>DETAIL!S69</f>
        <v>1.96</v>
      </c>
      <c r="G58" s="68">
        <f>DETAIL!S70</f>
        <v>0.97</v>
      </c>
      <c r="H58" s="68">
        <f>DETAIL!S71</f>
        <v>0.54</v>
      </c>
      <c r="I58" s="68">
        <f>DETAIL!S72</f>
        <v>0.31</v>
      </c>
      <c r="J58" s="68">
        <f>DETAIL!S73</f>
        <v>0.23</v>
      </c>
      <c r="K58" s="68">
        <f>DETAIL!S74</f>
        <v>0.19</v>
      </c>
      <c r="L58" s="68">
        <f>DETAIL!S75</f>
        <v>0.15</v>
      </c>
      <c r="M58" s="89">
        <f>DETAIL!S76</f>
        <v>0.12</v>
      </c>
    </row>
    <row r="59" spans="1:13" ht="15">
      <c r="A59" s="6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88"/>
    </row>
    <row r="60" spans="1:13" ht="15">
      <c r="A60" s="66" t="s">
        <v>26</v>
      </c>
      <c r="B60" s="67">
        <v>1000</v>
      </c>
      <c r="C60" s="68">
        <v>0</v>
      </c>
      <c r="D60" s="68">
        <v>6</v>
      </c>
      <c r="E60" s="68">
        <f>DETAIL!S87</f>
        <v>0.7</v>
      </c>
      <c r="F60" s="68">
        <f>DETAIL!S79</f>
        <v>2</v>
      </c>
      <c r="G60" s="68">
        <f>DETAIL!S80</f>
        <v>0.99</v>
      </c>
      <c r="H60" s="68">
        <f>DETAIL!S81</f>
        <v>0.55</v>
      </c>
      <c r="I60" s="68">
        <f>DETAIL!S82</f>
        <v>0.32</v>
      </c>
      <c r="J60" s="68">
        <f>DETAIL!S83</f>
        <v>0.24</v>
      </c>
      <c r="K60" s="68">
        <f>DETAIL!S84</f>
        <v>0.2</v>
      </c>
      <c r="L60" s="68">
        <f>DETAIL!S85</f>
        <v>0.15</v>
      </c>
      <c r="M60" s="89">
        <f>DETAIL!S86</f>
        <v>0.12</v>
      </c>
    </row>
    <row r="61" spans="1:13" ht="15">
      <c r="A61" s="66" t="s">
        <v>134</v>
      </c>
      <c r="B61" s="67">
        <v>510</v>
      </c>
      <c r="C61" s="68">
        <v>0</v>
      </c>
      <c r="D61" s="68">
        <v>17.99</v>
      </c>
      <c r="E61" s="68">
        <f>DETAIL!S97</f>
        <v>0.89</v>
      </c>
      <c r="F61" s="68">
        <f>DETAIL!S89</f>
        <v>2.76</v>
      </c>
      <c r="G61" s="68">
        <f>DETAIL!S90</f>
        <v>1.37</v>
      </c>
      <c r="H61" s="68">
        <f>DETAIL!S91</f>
        <v>0.74</v>
      </c>
      <c r="I61" s="68">
        <f>DETAIL!S92</f>
        <v>0.41</v>
      </c>
      <c r="J61" s="68">
        <f>DETAIL!S93</f>
        <v>0.31</v>
      </c>
      <c r="K61" s="68">
        <f>DETAIL!S94</f>
        <v>0.26</v>
      </c>
      <c r="L61" s="68">
        <f>DETAIL!S95</f>
        <v>0.2</v>
      </c>
      <c r="M61" s="87">
        <f>DETAIL!S96</f>
        <v>0.14</v>
      </c>
    </row>
    <row r="62" spans="1:13" ht="15">
      <c r="A62" s="6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88"/>
    </row>
    <row r="63" spans="1:13" ht="15">
      <c r="A63" s="56" t="s">
        <v>116</v>
      </c>
      <c r="B63" s="57">
        <v>1500</v>
      </c>
      <c r="C63" s="58">
        <v>6.01</v>
      </c>
      <c r="D63" s="58">
        <v>17.99</v>
      </c>
      <c r="E63" s="58">
        <f>DETAIL!S106</f>
        <v>0.89</v>
      </c>
      <c r="F63" s="58"/>
      <c r="G63" s="58">
        <f>DETAIL!S99</f>
        <v>1.37</v>
      </c>
      <c r="H63" s="58">
        <f>DETAIL!S100</f>
        <v>0.74</v>
      </c>
      <c r="I63" s="58">
        <f>DETAIL!S101</f>
        <v>0.41</v>
      </c>
      <c r="J63" s="58">
        <f>DETAIL!S102</f>
        <v>0.31</v>
      </c>
      <c r="K63" s="58">
        <f>DETAIL!S103</f>
        <v>0.26</v>
      </c>
      <c r="L63" s="58">
        <f>DETAIL!S104</f>
        <v>0.2</v>
      </c>
      <c r="M63" s="87">
        <f>DETAIL!S105</f>
        <v>0.14</v>
      </c>
    </row>
    <row r="64" spans="1:13" ht="15">
      <c r="A64" s="6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88"/>
    </row>
    <row r="65" spans="1:13" ht="15">
      <c r="A65" s="66" t="s">
        <v>67</v>
      </c>
      <c r="B65" s="67">
        <v>1700</v>
      </c>
      <c r="C65" s="68">
        <v>18</v>
      </c>
      <c r="D65" s="68">
        <v>29.99</v>
      </c>
      <c r="E65" s="68">
        <f>DETAIL!S118</f>
        <v>0.89</v>
      </c>
      <c r="F65" s="68"/>
      <c r="G65" s="68">
        <f>DETAIL!S111</f>
        <v>1.37</v>
      </c>
      <c r="H65" s="68">
        <f>DETAIL!S112</f>
        <v>0.74</v>
      </c>
      <c r="I65" s="68">
        <f>DETAIL!S113</f>
        <v>0.42</v>
      </c>
      <c r="J65" s="68">
        <f>DETAIL!S114</f>
        <v>0.31</v>
      </c>
      <c r="K65" s="68">
        <f>DETAIL!S115</f>
        <v>0.26</v>
      </c>
      <c r="L65" s="68">
        <f>DETAIL!S116</f>
        <v>0.2</v>
      </c>
      <c r="M65" s="89">
        <f>DETAIL!S117</f>
        <v>0.14</v>
      </c>
    </row>
    <row r="66" spans="1:13" ht="15">
      <c r="A66" s="66" t="s">
        <v>50</v>
      </c>
      <c r="B66" s="67">
        <v>1800</v>
      </c>
      <c r="C66" s="68">
        <v>30</v>
      </c>
      <c r="D66" s="68">
        <v>35.99</v>
      </c>
      <c r="E66" s="68">
        <f>DETAIL!S127</f>
        <v>0.89</v>
      </c>
      <c r="F66" s="68"/>
      <c r="G66" s="68">
        <f>DETAIL!S120</f>
        <v>1.37</v>
      </c>
      <c r="H66" s="68">
        <f>DETAIL!S121</f>
        <v>0.74</v>
      </c>
      <c r="I66" s="68">
        <f>DETAIL!S122</f>
        <v>0.42</v>
      </c>
      <c r="J66" s="68">
        <f>DETAIL!S123</f>
        <v>0.31</v>
      </c>
      <c r="K66" s="68">
        <f>DETAIL!S124</f>
        <v>0.26</v>
      </c>
      <c r="L66" s="68">
        <f>DETAIL!S125</f>
        <v>0.2</v>
      </c>
      <c r="M66" s="89">
        <f>DETAIL!S126</f>
        <v>0.14</v>
      </c>
    </row>
    <row r="67" spans="1:13" ht="15">
      <c r="A67" s="56" t="s">
        <v>51</v>
      </c>
      <c r="B67" s="57">
        <v>1900</v>
      </c>
      <c r="C67" s="58">
        <v>36</v>
      </c>
      <c r="D67" s="58">
        <v>50</v>
      </c>
      <c r="E67" s="58">
        <f>DETAIL!S136</f>
        <v>0.89</v>
      </c>
      <c r="F67" s="58"/>
      <c r="G67" s="58">
        <f>DETAIL!S129</f>
        <v>1.37</v>
      </c>
      <c r="H67" s="58">
        <f>DETAIL!S130</f>
        <v>0.74</v>
      </c>
      <c r="I67" s="58">
        <f>DETAIL!S131</f>
        <v>0.42</v>
      </c>
      <c r="J67" s="58">
        <f>DETAIL!S132</f>
        <v>0.31</v>
      </c>
      <c r="K67" s="58">
        <f>DETAIL!S133</f>
        <v>0.26</v>
      </c>
      <c r="L67" s="58">
        <f>DETAIL!S134</f>
        <v>0.2</v>
      </c>
      <c r="M67" s="87">
        <f>DETAIL!S135</f>
        <v>0.14</v>
      </c>
    </row>
    <row r="68" spans="1:13" ht="15">
      <c r="A68" s="6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88"/>
    </row>
    <row r="69" spans="1:13" ht="15.75" thickBot="1">
      <c r="A69" s="71" t="s">
        <v>117</v>
      </c>
      <c r="B69" s="72">
        <v>1600</v>
      </c>
      <c r="C69" s="73">
        <v>0</v>
      </c>
      <c r="D69" s="73">
        <v>29.99</v>
      </c>
      <c r="E69" s="73">
        <f>DETAIL!S145</f>
        <v>1.34</v>
      </c>
      <c r="F69" s="73"/>
      <c r="G69" s="73">
        <f>DETAIL!S138</f>
        <v>2.38</v>
      </c>
      <c r="H69" s="73">
        <f>DETAIL!S139</f>
        <v>1.25</v>
      </c>
      <c r="I69" s="73">
        <f>DETAIL!S140</f>
        <v>0.67</v>
      </c>
      <c r="J69" s="73">
        <f>DETAIL!S141</f>
        <v>0.46</v>
      </c>
      <c r="K69" s="73">
        <f>DETAIL!S142</f>
        <v>0.38</v>
      </c>
      <c r="L69" s="73">
        <f>DETAIL!S143</f>
        <v>0.33</v>
      </c>
      <c r="M69" s="90">
        <f>DETAIL!S144</f>
        <v>0.18</v>
      </c>
    </row>
    <row r="70" spans="1:13" ht="15.75" thickTop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5">
      <c r="A71" s="76" t="s">
        <v>118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5">
      <c r="A72" s="76" t="s">
        <v>119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5">
      <c r="A73" s="76" t="s">
        <v>120</v>
      </c>
      <c r="B73" s="76" t="s">
        <v>121</v>
      </c>
      <c r="C73" s="137">
        <f>ROUND(C35+0.075,2)</f>
        <v>3.21</v>
      </c>
      <c r="D73" s="76"/>
      <c r="E73" s="76" t="s">
        <v>123</v>
      </c>
      <c r="F73" s="137">
        <f>ROUND(F35+0.15,2)</f>
        <v>6.43</v>
      </c>
      <c r="G73" s="76"/>
      <c r="H73" s="76"/>
      <c r="I73" s="76"/>
      <c r="J73" s="76"/>
      <c r="K73" s="76"/>
      <c r="L73" s="76"/>
      <c r="M73" s="76"/>
    </row>
    <row r="74" spans="1:13" ht="15">
      <c r="A74" s="76" t="s">
        <v>122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5">
      <c r="A75" s="76" t="str">
        <f>CONCATENATE("        /5/    ADD $",INPUT!D29," WHEN SOLD IN RIGID PLASTIC CONTAINER")</f>
        <v>        /5/    ADD $0.01 WHEN SOLD IN RIGID PLASTIC CONTAINER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2:13" ht="1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5">
      <c r="A77" s="7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</sheetData>
  <sheetProtection/>
  <mergeCells count="3">
    <mergeCell ref="I6:M6"/>
    <mergeCell ref="D33:E33"/>
    <mergeCell ref="D34:E34"/>
  </mergeCells>
  <printOptions horizontalCentered="1" verticalCentered="1"/>
  <pageMargins left="0.5" right="0.5" top="0.5" bottom="0.5" header="0.5" footer="0.5"/>
  <pageSetup fitToHeight="2" horizontalDpi="600" verticalDpi="600" orientation="landscape" scale="78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Ackman, Cliff</cp:lastModifiedBy>
  <cp:lastPrinted>2015-09-22T19:23:27Z</cp:lastPrinted>
  <dcterms:created xsi:type="dcterms:W3CDTF">1998-10-19T18:47:17Z</dcterms:created>
  <dcterms:modified xsi:type="dcterms:W3CDTF">2021-03-19T15:02:59Z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26200.0000000000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