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45" yWindow="0" windowWidth="14430" windowHeight="9765" tabRatio="710" activeTab="0"/>
  </bookViews>
  <sheets>
    <sheet name="INPUT" sheetId="1" r:id="rId1"/>
    <sheet name="RAW" sheetId="2" state="hidden" r:id="rId2"/>
    <sheet name="CNTNR COST" sheetId="3" state="hidden" r:id="rId3"/>
    <sheet name="DETAIL" sheetId="4" state="hidden" r:id="rId4"/>
    <sheet name="SCHEDULE" sheetId="5" r:id="rId5"/>
    <sheet name="Sheet1" sheetId="6" state="hidden" r:id="rId6"/>
  </sheets>
  <definedNames>
    <definedName name="ADVANCE_CL2_DIFF">'INPUT'!$B$10</definedName>
    <definedName name="Class_1_BF_Rate">'INPUT'!$B$6</definedName>
    <definedName name="Class_1_Skim_Rate">'INPUT'!$B$5</definedName>
    <definedName name="Class_2_BF_Rate">'INPUT'!$B$8</definedName>
    <definedName name="Class_2_Skim_Rate">'INPUT'!$B$7</definedName>
    <definedName name="Consumer_Price_Index">'INPUT'!$B$9</definedName>
    <definedName name="COST_UPDATE_ADJ">'INPUT'!$B$32</definedName>
    <definedName name="CREAM_ADDON">'INPUT'!$B$51</definedName>
    <definedName name="CREAMER_ADDON">'INPUT'!$B$50</definedName>
    <definedName name="DISP_CTNR_CST">'INPUT'!$B$22</definedName>
    <definedName name="DISP_H_AND_H">'INPUT'!$B$48</definedName>
    <definedName name="DOLLAR_EFFECT">#REF!</definedName>
    <definedName name="ENERGY_ADDON">'INPUT'!$B$10</definedName>
    <definedName name="FOURoz_CTNR_CST">'INPUT'!$B$21</definedName>
    <definedName name="GAL_CTNR_CST">'INPUT'!$B$13</definedName>
    <definedName name="GALLON">#REF!</definedName>
    <definedName name="H_AND_H_ADDON">'INPUT'!$B$49</definedName>
    <definedName name="hALF_GALLON">#REF!</definedName>
    <definedName name="HANDLING_ADJ">'INPUT'!$B$58</definedName>
    <definedName name="HGAL_CTNR_COST">'INPUT'!$B$14</definedName>
    <definedName name="HPT_CTNR_CST">'INPUT'!$B$19</definedName>
    <definedName name="INTEREST">'INPUT'!#REF!</definedName>
    <definedName name="MAX_DISC">'INPUT'!$B$72</definedName>
    <definedName name="_xlnm.Print_Area" localSheetId="2">'CNTNR COST'!$A$7:$G$145</definedName>
    <definedName name="_xlnm.Print_Area" localSheetId="0">'INPUT'!$A$1:$G$70</definedName>
    <definedName name="_xlnm.Print_Area" localSheetId="1">'RAW'!$A$1:$K$23</definedName>
    <definedName name="_xlnm.Print_Area" localSheetId="4">'SCHEDULE'!$A$1:$M$76</definedName>
    <definedName name="_xlnm.Print_Titles" localSheetId="2">'CNTNR COST'!$1:$5</definedName>
    <definedName name="_xlnm.Print_Titles" localSheetId="3">'DETAIL'!$1:$7</definedName>
    <definedName name="PROCESS_CST">'INPUT'!$B$29</definedName>
    <definedName name="PROFIT">'INPUT'!$B$54</definedName>
    <definedName name="PT_CTNR_CST">'INPUT'!$B$16</definedName>
    <definedName name="QT_CTNR_CST">'INPUT'!$B$15</definedName>
    <definedName name="QUART">#REF!</definedName>
    <definedName name="RETIAL_PRFT">'INPUT'!$B$56</definedName>
    <definedName name="SC_ADDON">'INPUT'!$B$52</definedName>
    <definedName name="SCHEDULE_1">#REF!</definedName>
    <definedName name="SCHEDULE_2">#REF!</definedName>
    <definedName name="SCHEDULE_2A">#REF!</definedName>
    <definedName name="STORE_CST">'INPUT'!#REF!</definedName>
    <definedName name="TENoz_CTNRCST">'INPUT'!$B$18</definedName>
    <definedName name="Z_B925ED82_881F_11D2_AC8B_00A0247DF0CD_.wvu.PrintArea" localSheetId="2" hidden="1">'CNTNR COST'!$A$7:$G$145</definedName>
    <definedName name="Z_B925ED82_881F_11D2_AC8B_00A0247DF0CD_.wvu.PrintArea" localSheetId="3" hidden="1">'DETAIL'!$A$9:$L$146</definedName>
    <definedName name="Z_B925ED82_881F_11D2_AC8B_00A0247DF0CD_.wvu.PrintArea" localSheetId="1" hidden="1">'RAW'!$A$1:$K$23</definedName>
    <definedName name="Z_B925ED82_881F_11D2_AC8B_00A0247DF0CD_.wvu.PrintTitles" localSheetId="2" hidden="1">'CNTNR COST'!$1:$5</definedName>
    <definedName name="Z_B925ED82_881F_11D2_AC8B_00A0247DF0CD_.wvu.PrintTitles" localSheetId="3" hidden="1">'DETAIL'!$1:$7</definedName>
  </definedNames>
  <calcPr fullCalcOnLoad="1"/>
</workbook>
</file>

<file path=xl/sharedStrings.xml><?xml version="1.0" encoding="utf-8"?>
<sst xmlns="http://schemas.openxmlformats.org/spreadsheetml/2006/main" count="612" uniqueCount="201">
  <si>
    <t>WEST CENTRAL MILK MARKETING AREA,  AREA NO. 6</t>
  </si>
  <si>
    <t>DATA INPUT AREAS IN YELLOW CELLS</t>
  </si>
  <si>
    <t>&lt;</t>
  </si>
  <si>
    <t>Enter MONTH and YEAR</t>
  </si>
  <si>
    <t>Enter number with 2 decimal places</t>
  </si>
  <si>
    <t>Enter number with 4 decimal places</t>
  </si>
  <si>
    <t>Energy Add-on</t>
  </si>
  <si>
    <t>PROCESSING COST</t>
  </si>
  <si>
    <t xml:space="preserve"> </t>
  </si>
  <si>
    <t>CONTAINER COSTS</t>
  </si>
  <si>
    <t>GALLON</t>
  </si>
  <si>
    <t>HALFGALLON</t>
  </si>
  <si>
    <t>QUART</t>
  </si>
  <si>
    <t>PINT</t>
  </si>
  <si>
    <t>HALF PINT</t>
  </si>
  <si>
    <t xml:space="preserve">4oz </t>
  </si>
  <si>
    <t>DISPENSER</t>
  </si>
  <si>
    <t>INGREDIENT COST</t>
  </si>
  <si>
    <t>STANDARD</t>
  </si>
  <si>
    <t>TWO PERCENT</t>
  </si>
  <si>
    <t>ONE PERCENT</t>
  </si>
  <si>
    <t>SKIM</t>
  </si>
  <si>
    <t>FLAVORED MILK</t>
  </si>
  <si>
    <t>FLAVORED MILK DRINK</t>
  </si>
  <si>
    <t>BUTTERMILK</t>
  </si>
  <si>
    <t>CREAM ADD-ONS</t>
  </si>
  <si>
    <t>DISPENSER H &amp; H</t>
  </si>
  <si>
    <t>HALF &amp; HALF ADD-ON</t>
  </si>
  <si>
    <t>CREAMER ADD-ON</t>
  </si>
  <si>
    <t>CREAM ADD-ON</t>
  </si>
  <si>
    <t>SOUR CREAM ADD-ON</t>
  </si>
  <si>
    <t>DEALER PROFIT</t>
  </si>
  <si>
    <t>RETAILER PROFIT</t>
  </si>
  <si>
    <t>IN-STORE HANDLING COST</t>
  </si>
  <si>
    <t>MAX DISCOUNT (RATE OR %)</t>
  </si>
  <si>
    <t>SMALL DELIVERY COST</t>
  </si>
  <si>
    <t>BULK MILK/SHRINK</t>
  </si>
  <si>
    <t xml:space="preserve">    STANDARD</t>
  </si>
  <si>
    <t xml:space="preserve">    TWO PERCENT</t>
  </si>
  <si>
    <t xml:space="preserve">    ONE PERCENT</t>
  </si>
  <si>
    <t xml:space="preserve">    SKIM</t>
  </si>
  <si>
    <t xml:space="preserve">    FLAVORED MILK</t>
  </si>
  <si>
    <t xml:space="preserve">    FLAVORED MILK DRINK</t>
  </si>
  <si>
    <t>PENNSYLVANIA MILK MARKETING BOARD</t>
  </si>
  <si>
    <t>COMPUTATION OF RAW PRODUCT COST</t>
  </si>
  <si>
    <t>AREA 6 RESALE PRICE BUILD-UP</t>
  </si>
  <si>
    <t>BUTTERFAT</t>
  </si>
  <si>
    <t>COST PER</t>
  </si>
  <si>
    <t>BULK MILK</t>
  </si>
  <si>
    <t>INGREDIENT</t>
  </si>
  <si>
    <t>POUND</t>
  </si>
  <si>
    <t>ADJUSTMENT</t>
  </si>
  <si>
    <t>COST</t>
  </si>
  <si>
    <t>REDUCED FAT MILK, 2% MILKFAT</t>
  </si>
  <si>
    <t>LOW FAT MILK, 1% MILKFAT</t>
  </si>
  <si>
    <t>NONFAT MILK</t>
  </si>
  <si>
    <t>FLAVORED REDUCED FAT MILK</t>
  </si>
  <si>
    <t>HALF &amp; HALF (MIXED MILK)</t>
  </si>
  <si>
    <t>MEDIUM CREAM</t>
  </si>
  <si>
    <t>HEAVY CREAM</t>
  </si>
  <si>
    <t>UNADJUSTED COST PER CONTAINER - AREA 6</t>
  </si>
  <si>
    <t>POUNDS PER</t>
  </si>
  <si>
    <t>RAW MILK</t>
  </si>
  <si>
    <t>CONTAINER</t>
  </si>
  <si>
    <t>PROCESSING</t>
  </si>
  <si>
    <t>TOTAL</t>
  </si>
  <si>
    <t>UNIT</t>
  </si>
  <si>
    <t>1/2 GALLON</t>
  </si>
  <si>
    <t>10 OUNCE</t>
  </si>
  <si>
    <t>1/2 PINT</t>
  </si>
  <si>
    <t>4 OUNCE</t>
  </si>
  <si>
    <t>DISP. PER QT.</t>
  </si>
  <si>
    <t>HALF &amp; HALF</t>
  </si>
  <si>
    <t>3/8 OZ</t>
  </si>
  <si>
    <t>1/2 OZ</t>
  </si>
  <si>
    <t>3/4 OZ</t>
  </si>
  <si>
    <t>LIGHT CREAM</t>
  </si>
  <si>
    <t>SOUR CREAM</t>
  </si>
  <si>
    <t>AREA 6 PRICE BUILD-UP</t>
  </si>
  <si>
    <t xml:space="preserve"> PROCESSOR</t>
  </si>
  <si>
    <t>RETAILER</t>
  </si>
  <si>
    <t>AVERAGE</t>
  </si>
  <si>
    <t>CREAM FIXED</t>
  </si>
  <si>
    <t>SMALL</t>
  </si>
  <si>
    <t>PRICE</t>
  </si>
  <si>
    <t>INCREASE</t>
  </si>
  <si>
    <t>DELIVERED</t>
  </si>
  <si>
    <t>ADD-ON</t>
  </si>
  <si>
    <t>WHSLE</t>
  </si>
  <si>
    <t>PROFIT</t>
  </si>
  <si>
    <t>WITH</t>
  </si>
  <si>
    <t>DELIVERY</t>
  </si>
  <si>
    <t>WHOLESALE</t>
  </si>
  <si>
    <t>RETAIL</t>
  </si>
  <si>
    <t>DECREASE(-)</t>
  </si>
  <si>
    <t>DECREASE( )</t>
  </si>
  <si>
    <t>ADJUST.</t>
  </si>
  <si>
    <t>FACTOR</t>
  </si>
  <si>
    <t>DISP./QT.</t>
  </si>
  <si>
    <t>LOWFAT MILK, 1% MILKFAT</t>
  </si>
  <si>
    <t>AREA  6</t>
  </si>
  <si>
    <t>BUTTERFAT %</t>
  </si>
  <si>
    <t>BULK</t>
  </si>
  <si>
    <t>NON-RETURNABLE</t>
  </si>
  <si>
    <t>PRODUCT</t>
  </si>
  <si>
    <t>RANGE</t>
  </si>
  <si>
    <t>PER QT.</t>
  </si>
  <si>
    <t>1/2 GAL.</t>
  </si>
  <si>
    <t>1/2 PT.</t>
  </si>
  <si>
    <t>DESCRIPTION</t>
  </si>
  <si>
    <t>CODE</t>
  </si>
  <si>
    <t>LOW</t>
  </si>
  <si>
    <t>HIGH</t>
  </si>
  <si>
    <t>EQUIV.</t>
  </si>
  <si>
    <t>GAL. /1/</t>
  </si>
  <si>
    <t xml:space="preserve">/2/   </t>
  </si>
  <si>
    <t>/5/</t>
  </si>
  <si>
    <t>4 OZ.</t>
  </si>
  <si>
    <t>STANDARD MILK</t>
  </si>
  <si>
    <t>MIXED MILK /3/</t>
  </si>
  <si>
    <t>SOUR CREAM /4/</t>
  </si>
  <si>
    <t xml:space="preserve">    /1/    DEDUCT $0.06 IF SOLD IN REUSABLE CONTAINER WITH A 50 CENT DEPOSIT.</t>
  </si>
  <si>
    <t xml:space="preserve">    /2/    DEDUCT $0.04 IF SOLD IN REUSABLE CONTAINER WITH A 40 CENT DEPOSIT.</t>
  </si>
  <si>
    <t xml:space="preserve">    /3/    MIXED MILK PRICES:</t>
  </si>
  <si>
    <t xml:space="preserve">3/8 OZ. - </t>
  </si>
  <si>
    <t xml:space="preserve">1/2 OZ. - </t>
  </si>
  <si>
    <t xml:space="preserve">3/4 OZ. - </t>
  </si>
  <si>
    <t xml:space="preserve">             ADD $.02 PER QT. EQUIVALENT TO ESTABLISH RETAIL PRICES ON SCHEDULE II.</t>
  </si>
  <si>
    <t>5 LB  -</t>
  </si>
  <si>
    <t>10 LB  -</t>
  </si>
  <si>
    <t xml:space="preserve">    /5/    ADD $.04 TO LOWFAT FLAVORED MILK PRICE FOR 12 OUNCE CONTAINERS.</t>
  </si>
  <si>
    <t>MINIMUM RETAIL OUT-OF-STORE (CASH AND CARRY)</t>
  </si>
  <si>
    <t>SCHEDULE II /4/</t>
  </si>
  <si>
    <t xml:space="preserve">               </t>
  </si>
  <si>
    <t xml:space="preserve">     RANGE</t>
  </si>
  <si>
    <t xml:space="preserve">MIXED MILK </t>
  </si>
  <si>
    <t>SOUR CREAM /3/</t>
  </si>
  <si>
    <t xml:space="preserve">        /1/  DEDUCT $0.06 IF SOLD IN REUSABLE CONTAINER WITH A 50 CENT DEPOSIT.</t>
  </si>
  <si>
    <t xml:space="preserve">        /2/  DEDUCT $0.04 IF SOLD IN REUSABLE CONTAINER WITH A 40 CENT DEPOSIT.</t>
  </si>
  <si>
    <t xml:space="preserve">        /3/  SOUR CREAM</t>
  </si>
  <si>
    <t xml:space="preserve">        /4/  ADD $0.0425 PER QUART FOR HOME-DELIVERED MILK.</t>
  </si>
  <si>
    <t>Container</t>
  </si>
  <si>
    <t>Units Sold</t>
  </si>
  <si>
    <t>Quart Equivalent</t>
  </si>
  <si>
    <t>Units/Minute</t>
  </si>
  <si>
    <t>Minutes/Container</t>
  </si>
  <si>
    <t>Minutes/Quart</t>
  </si>
  <si>
    <t>Gallon</t>
  </si>
  <si>
    <t>Half Gallon</t>
  </si>
  <si>
    <t>Quart</t>
  </si>
  <si>
    <t>Pint</t>
  </si>
  <si>
    <t>Third Quart</t>
  </si>
  <si>
    <t>Half Pint</t>
  </si>
  <si>
    <t>4 Ounce</t>
  </si>
  <si>
    <t>Dispenser</t>
  </si>
  <si>
    <t>Product</t>
  </si>
  <si>
    <t>Pounds</t>
  </si>
  <si>
    <t>POUNDS</t>
  </si>
  <si>
    <t>CLASS I</t>
  </si>
  <si>
    <t>CLASS II</t>
  </si>
  <si>
    <t>SKIM RATE</t>
  </si>
  <si>
    <t>BUTTERFAT RATE</t>
  </si>
  <si>
    <t>VALUE</t>
  </si>
  <si>
    <t>CURRENT</t>
  </si>
  <si>
    <t xml:space="preserve">                                       WEST CENTRAL MILK MARKETING AREA</t>
  </si>
  <si>
    <t xml:space="preserve">                                                    MINIMUM WHOLESALE PRICES</t>
  </si>
  <si>
    <t xml:space="preserve">                                                     SCHEDULE I </t>
  </si>
  <si>
    <t>Consumer Price Index</t>
  </si>
  <si>
    <t>COST UPDATE</t>
  </si>
  <si>
    <t>EGG NOG</t>
  </si>
  <si>
    <t xml:space="preserve">    BUTTER MILK</t>
  </si>
  <si>
    <t xml:space="preserve">    EGG NOG</t>
  </si>
  <si>
    <t>TO PRINT SCHEDULES</t>
  </si>
  <si>
    <t>Go to "SCHEDULES" worksheet.</t>
  </si>
  <si>
    <t>Press "Ctrl P, Enter" to print Schedules I and II</t>
  </si>
  <si>
    <t>CPI Adjusted In-Store Cost</t>
  </si>
  <si>
    <t>PRICE@</t>
  </si>
  <si>
    <t>ENERGY</t>
  </si>
  <si>
    <t>ADD-ON  &amp;</t>
  </si>
  <si>
    <t>COST ADJUST</t>
  </si>
  <si>
    <t xml:space="preserve">    /4/    SOUR CREAM                5 LB -</t>
  </si>
  <si>
    <t>Adv. Adjusted Class II Skim Price</t>
  </si>
  <si>
    <t>Adv. Adjusted Class II Butterfat Price</t>
  </si>
  <si>
    <t>Class I Butterfat Value</t>
  </si>
  <si>
    <t>Class I Skim Value</t>
  </si>
  <si>
    <t>CRATE COST</t>
  </si>
  <si>
    <t>CRATE</t>
  </si>
  <si>
    <t>TEN OUNCE</t>
  </si>
  <si>
    <t>TWELVE OUNCE</t>
  </si>
  <si>
    <t>12 OUNCE</t>
  </si>
  <si>
    <t>10 OZ.</t>
  </si>
  <si>
    <t>12 OZ.</t>
  </si>
  <si>
    <t>PLASTIC CONTAINER ADD-ON</t>
  </si>
  <si>
    <t>Flavored Milk Cost Updates</t>
  </si>
  <si>
    <t>Flavored Milk Cost</t>
  </si>
  <si>
    <t>Flavored Milk Drink Cost</t>
  </si>
  <si>
    <t>FLAVORED NONFAT MILK</t>
  </si>
  <si>
    <t>FLAVORED nonfat MILK DRINK</t>
  </si>
  <si>
    <t>Non-fat Flavored Milk Drink Cost</t>
  </si>
  <si>
    <t>Enter number with 3 decimal places</t>
  </si>
  <si>
    <t>OGO A-956 (CRO-5)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</si>
</sst>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hh:mm\ AM/PM_)"/>
    <numFmt numFmtId="167" formatCode="0.0000_)"/>
    <numFmt numFmtId="168" formatCode="0.00_)"/>
    <numFmt numFmtId="169" formatCode="&quot;$&quot;#,##0.0000_);\(&quot;$&quot;#,##0.0000\)"/>
    <numFmt numFmtId="170" formatCode="#,##0.0000000_);\(#,##0.0000000\)"/>
    <numFmt numFmtId="171" formatCode="#,##0.0000_);\(#,##0.0000\)"/>
    <numFmt numFmtId="172" formatCode="0.000_)"/>
    <numFmt numFmtId="173" formatCode="&quot;$&quot;#,##0.000_);\(&quot;$&quot;#,##0.000\)"/>
    <numFmt numFmtId="174" formatCode="#,##0.000_);\(#,##0.000\)"/>
    <numFmt numFmtId="175" formatCode="#,##0.00000000_);\(#,##0.00000000\)"/>
    <numFmt numFmtId="176" formatCode="#,##0.000000_);\(#,##0.000000\)"/>
    <numFmt numFmtId="177" formatCode="&quot;$&quot;#,##0.0_);\(&quot;$&quot;#,##0.0\)"/>
    <numFmt numFmtId="178" formatCode="m/d/yy\ h:mm\ AM/PM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"/>
    <numFmt numFmtId="185" formatCode="0.0%"/>
    <numFmt numFmtId="186" formatCode="0.000%"/>
    <numFmt numFmtId="187" formatCode="0.0000%"/>
    <numFmt numFmtId="188" formatCode="0.00000%"/>
    <numFmt numFmtId="189" formatCode="_(&quot;$&quot;* #,##0.000_);_(&quot;$&quot;* \(#,##0.000\);_(&quot;$&quot;* &quot;-&quot;??_);_(@_)"/>
    <numFmt numFmtId="190" formatCode="_(&quot;$&quot;* #,##0.0000_);_(&quot;$&quot;* \(#,##0.0000\);_(&quot;$&quot;* &quot;-&quot;??_);_(@_)"/>
    <numFmt numFmtId="191" formatCode="#,##0.0000"/>
    <numFmt numFmtId="192" formatCode="&quot;$&quot;#,##0.0000"/>
    <numFmt numFmtId="193" formatCode="&quot;$&quot;#,##0.000"/>
    <numFmt numFmtId="194" formatCode="&quot;$&quot;#,##0.00"/>
    <numFmt numFmtId="195" formatCode="&quot;$&quot;#,##0.0"/>
    <numFmt numFmtId="196" formatCode="&quot;$&quot;#,##0"/>
    <numFmt numFmtId="197" formatCode="_(* #,##0.0_);_(* \(#,##0.0\);_(* &quot;-&quot;??_);_(@_)"/>
    <numFmt numFmtId="198" formatCode="_(* #,##0_);_(* \(#,##0\);_(* &quot;-&quot;??_);_(@_)"/>
    <numFmt numFmtId="199" formatCode="#,##0.0"/>
    <numFmt numFmtId="200" formatCode="&quot;$&quot;#,##0.00000"/>
    <numFmt numFmtId="201" formatCode="0.00000_)"/>
    <numFmt numFmtId="202" formatCode="m/d"/>
    <numFmt numFmtId="203" formatCode="mmm\-yyyy"/>
    <numFmt numFmtId="204" formatCode="_(* #,##0.0000_);_(* \(#,##0.0000\);_(* &quot;-&quot;??_);_(@_)"/>
    <numFmt numFmtId="205" formatCode="&quot;$&quot;#,##0.00000_);\(&quot;$&quot;#,##0.00000\)"/>
    <numFmt numFmtId="206" formatCode="&quot;$&quot;#,##0.000000_);\(&quot;$&quot;#,##0.000000\)"/>
    <numFmt numFmtId="207" formatCode="&quot;$&quot;#,##0.0000000_);\(&quot;$&quot;#,##0.0000000\)"/>
    <numFmt numFmtId="208" formatCode="&quot;$&quot;#,##0.00000000_);\(&quot;$&quot;#,##0.00000000\)"/>
    <numFmt numFmtId="209" formatCode="mmmm\-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_(&quot;$&quot;* #,##0.00000_);_(&quot;$&quot;* \(#,##0.00000\);_(&quot;$&quot;* &quot;-&quot;??_);_(@_)"/>
    <numFmt numFmtId="214" formatCode="_(* #,##0.000_);_(* \(#,##0.000\);_(* &quot;-&quot;??_);_(@_)"/>
    <numFmt numFmtId="215" formatCode="_(* #,##0.0000_);_(* \(#,##0.0000\);_(* &quot;-&quot;????_);_(@_)"/>
    <numFmt numFmtId="216" formatCode="&quot;    /5/    ADD &quot;&quot;$&quot;* #,##0.0000_)&quot;WHEN SOLD IN RIGID PLASTIC CONTAINERS&quot;;\(&quot;$&quot;* \(#,##0.0000\);_(&quot;$&quot;* &quot;-&quot;_);_(@_)"/>
    <numFmt numFmtId="217" formatCode="&quot;   /6/     ADD &quot;_(&quot;$&quot;* #,##0.0000_)&quot;WHEN SOLD IN RIGID PLASTIC CONTAINERS            &quot;;_(* \(#,##0.0000\);_(* &quot;-&quot;????_);_(@_)"/>
  </numFmts>
  <fonts count="76">
    <font>
      <sz val="10"/>
      <name val="Arial"/>
      <family val="0"/>
    </font>
    <font>
      <b/>
      <sz val="18"/>
      <name val="Arial MT"/>
      <family val="0"/>
    </font>
    <font>
      <sz val="12"/>
      <name val="Arial MT"/>
      <family val="0"/>
    </font>
    <font>
      <b/>
      <sz val="14"/>
      <name val="Arial MT"/>
      <family val="0"/>
    </font>
    <font>
      <sz val="11"/>
      <name val="Arial MT"/>
      <family val="0"/>
    </font>
    <font>
      <sz val="12"/>
      <color indexed="8"/>
      <name val="Arial MT"/>
      <family val="0"/>
    </font>
    <font>
      <sz val="14"/>
      <name val="Arial"/>
      <family val="2"/>
    </font>
    <font>
      <sz val="24"/>
      <name val="Arial"/>
      <family val="2"/>
    </font>
    <font>
      <sz val="12"/>
      <color indexed="12"/>
      <name val="Arial MT"/>
      <family val="0"/>
    </font>
    <font>
      <b/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28"/>
      <name val="Arial"/>
      <family val="2"/>
    </font>
    <font>
      <sz val="26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i/>
      <sz val="14"/>
      <color indexed="62"/>
      <name val="Arial MT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0"/>
      <name val="Arial MT"/>
      <family val="0"/>
    </font>
    <font>
      <sz val="10"/>
      <name val="Arial MT"/>
      <family val="2"/>
    </font>
    <font>
      <sz val="10"/>
      <color indexed="8"/>
      <name val="Arial MT"/>
      <family val="0"/>
    </font>
    <font>
      <b/>
      <sz val="12"/>
      <name val="Arial MT"/>
      <family val="0"/>
    </font>
    <font>
      <sz val="10"/>
      <color indexed="53"/>
      <name val="Arial"/>
      <family val="2"/>
    </font>
    <font>
      <sz val="12"/>
      <color indexed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MT"/>
      <family val="2"/>
    </font>
    <font>
      <sz val="12"/>
      <color indexed="9"/>
      <name val="Arial MT"/>
      <family val="2"/>
    </font>
    <font>
      <b/>
      <sz val="12"/>
      <color indexed="9"/>
      <name val="Arial MT"/>
      <family val="0"/>
    </font>
    <font>
      <b/>
      <sz val="14"/>
      <color indexed="9"/>
      <name val="Arial MT"/>
      <family val="0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MT"/>
      <family val="2"/>
    </font>
    <font>
      <sz val="12"/>
      <color theme="0"/>
      <name val="Arial MT"/>
      <family val="2"/>
    </font>
    <font>
      <b/>
      <sz val="12"/>
      <color theme="0"/>
      <name val="Arial MT"/>
      <family val="0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4"/>
      <color theme="0"/>
      <name val="Arial MT"/>
      <family val="0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1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171" fontId="2" fillId="0" borderId="13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0" fontId="9" fillId="0" borderId="0" xfId="0" applyFont="1" applyAlignment="1">
      <alignment horizontal="centerContinuous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0" fontId="0" fillId="0" borderId="17" xfId="0" applyNumberFormat="1" applyBorder="1" applyAlignment="1">
      <alignment/>
    </xf>
    <xf numFmtId="182" fontId="0" fillId="0" borderId="17" xfId="0" applyNumberFormat="1" applyBorder="1" applyAlignment="1">
      <alignment/>
    </xf>
    <xf numFmtId="182" fontId="0" fillId="0" borderId="0" xfId="0" applyNumberFormat="1" applyAlignment="1">
      <alignment/>
    </xf>
    <xf numFmtId="0" fontId="9" fillId="0" borderId="0" xfId="0" applyFont="1" applyAlignment="1">
      <alignment horizontal="centerContinuous" vertical="center"/>
    </xf>
    <xf numFmtId="0" fontId="9" fillId="0" borderId="23" xfId="0" applyFont="1" applyBorder="1" applyAlignment="1">
      <alignment horizontal="center"/>
    </xf>
    <xf numFmtId="8" fontId="9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26" xfId="0" applyNumberFormat="1" applyBorder="1" applyAlignment="1">
      <alignment/>
    </xf>
    <xf numFmtId="180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 quotePrefix="1">
      <alignment/>
    </xf>
    <xf numFmtId="0" fontId="2" fillId="0" borderId="0" xfId="0" applyFont="1" applyAlignment="1" applyProtection="1">
      <alignment horizontal="centerContinuous" vertical="center"/>
      <protection/>
    </xf>
    <xf numFmtId="0" fontId="1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/>
    </xf>
    <xf numFmtId="0" fontId="12" fillId="0" borderId="27" xfId="0" applyFont="1" applyBorder="1" applyAlignment="1">
      <alignment horizontal="centerContinuous" vertical="center"/>
    </xf>
    <xf numFmtId="0" fontId="12" fillId="0" borderId="28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/>
    </xf>
    <xf numFmtId="0" fontId="12" fillId="0" borderId="24" xfId="0" applyFont="1" applyBorder="1" applyAlignment="1">
      <alignment horizontal="centerContinuous" vertical="center"/>
    </xf>
    <xf numFmtId="0" fontId="12" fillId="0" borderId="29" xfId="0" applyFont="1" applyBorder="1" applyAlignment="1">
      <alignment horizontal="centerContinuous" vertical="center"/>
    </xf>
    <xf numFmtId="0" fontId="12" fillId="0" borderId="30" xfId="0" applyFont="1" applyBorder="1" applyAlignment="1">
      <alignment horizontal="centerContinuous" vertical="center"/>
    </xf>
    <xf numFmtId="0" fontId="12" fillId="0" borderId="23" xfId="0" applyFont="1" applyBorder="1" applyAlignment="1">
      <alignment/>
    </xf>
    <xf numFmtId="0" fontId="12" fillId="0" borderId="31" xfId="0" applyFont="1" applyBorder="1" applyAlignment="1">
      <alignment horizontal="centerContinuous" vertical="center"/>
    </xf>
    <xf numFmtId="0" fontId="12" fillId="0" borderId="32" xfId="0" applyFont="1" applyBorder="1" applyAlignment="1">
      <alignment horizontal="centerContinuous" vertical="center"/>
    </xf>
    <xf numFmtId="0" fontId="12" fillId="0" borderId="23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18" xfId="0" applyFont="1" applyBorder="1" applyAlignment="1">
      <alignment/>
    </xf>
    <xf numFmtId="2" fontId="12" fillId="0" borderId="18" xfId="0" applyNumberFormat="1" applyFont="1" applyBorder="1" applyAlignment="1">
      <alignment/>
    </xf>
    <xf numFmtId="180" fontId="12" fillId="0" borderId="18" xfId="0" applyNumberFormat="1" applyFont="1" applyBorder="1" applyAlignment="1">
      <alignment/>
    </xf>
    <xf numFmtId="180" fontId="12" fillId="0" borderId="37" xfId="0" applyNumberFormat="1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19" xfId="0" applyFont="1" applyBorder="1" applyAlignment="1">
      <alignment/>
    </xf>
    <xf numFmtId="2" fontId="12" fillId="0" borderId="19" xfId="0" applyNumberFormat="1" applyFont="1" applyBorder="1" applyAlignment="1">
      <alignment/>
    </xf>
    <xf numFmtId="180" fontId="12" fillId="0" borderId="19" xfId="0" applyNumberFormat="1" applyFont="1" applyBorder="1" applyAlignment="1">
      <alignment/>
    </xf>
    <xf numFmtId="180" fontId="12" fillId="0" borderId="39" xfId="0" applyNumberFormat="1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41" xfId="0" applyFont="1" applyBorder="1" applyAlignment="1">
      <alignment/>
    </xf>
    <xf numFmtId="2" fontId="12" fillId="0" borderId="41" xfId="0" applyNumberFormat="1" applyFont="1" applyBorder="1" applyAlignment="1">
      <alignment/>
    </xf>
    <xf numFmtId="180" fontId="12" fillId="0" borderId="41" xfId="0" applyNumberFormat="1" applyFont="1" applyBorder="1" applyAlignment="1">
      <alignment/>
    </xf>
    <xf numFmtId="180" fontId="12" fillId="0" borderId="42" xfId="0" applyNumberFormat="1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44" xfId="0" applyFont="1" applyBorder="1" applyAlignment="1">
      <alignment/>
    </xf>
    <xf numFmtId="2" fontId="12" fillId="0" borderId="44" xfId="0" applyNumberFormat="1" applyFont="1" applyBorder="1" applyAlignment="1">
      <alignment/>
    </xf>
    <xf numFmtId="180" fontId="12" fillId="0" borderId="44" xfId="0" applyNumberFormat="1" applyFont="1" applyBorder="1" applyAlignment="1">
      <alignment/>
    </xf>
    <xf numFmtId="180" fontId="12" fillId="0" borderId="45" xfId="0" applyNumberFormat="1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" fontId="17" fillId="33" borderId="46" xfId="0" applyNumberFormat="1" applyFont="1" applyFill="1" applyBorder="1" applyAlignment="1" applyProtection="1">
      <alignment horizontal="centerContinuous"/>
      <protection/>
    </xf>
    <xf numFmtId="0" fontId="0" fillId="33" borderId="47" xfId="0" applyFill="1" applyBorder="1" applyAlignment="1">
      <alignment horizontal="centerContinuous"/>
    </xf>
    <xf numFmtId="0" fontId="0" fillId="33" borderId="48" xfId="0" applyFill="1" applyBorder="1" applyAlignment="1">
      <alignment horizontal="centerContinuous"/>
    </xf>
    <xf numFmtId="0" fontId="5" fillId="0" borderId="0" xfId="0" applyFont="1" applyBorder="1" applyAlignment="1" applyProtection="1">
      <alignment/>
      <protection/>
    </xf>
    <xf numFmtId="44" fontId="0" fillId="0" borderId="0" xfId="44" applyFont="1" applyAlignment="1">
      <alignment/>
    </xf>
    <xf numFmtId="0" fontId="18" fillId="0" borderId="0" xfId="0" applyFont="1" applyAlignment="1">
      <alignment/>
    </xf>
    <xf numFmtId="180" fontId="0" fillId="0" borderId="49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50" xfId="0" applyNumberFormat="1" applyBorder="1" applyAlignment="1">
      <alignment/>
    </xf>
    <xf numFmtId="180" fontId="9" fillId="0" borderId="0" xfId="0" applyNumberFormat="1" applyFont="1" applyAlignment="1">
      <alignment horizontal="centerContinuous" vertical="center"/>
    </xf>
    <xf numFmtId="180" fontId="9" fillId="0" borderId="23" xfId="0" applyNumberFormat="1" applyFont="1" applyBorder="1" applyAlignment="1">
      <alignment horizontal="center"/>
    </xf>
    <xf numFmtId="180" fontId="9" fillId="0" borderId="15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0" fontId="9" fillId="0" borderId="23" xfId="59" applyNumberFormat="1" applyFont="1" applyBorder="1" applyAlignment="1">
      <alignment horizontal="center"/>
    </xf>
    <xf numFmtId="192" fontId="9" fillId="0" borderId="0" xfId="44" applyNumberFormat="1" applyFont="1" applyAlignment="1">
      <alignment horizontal="centerContinuous" vertical="center"/>
    </xf>
    <xf numFmtId="192" fontId="9" fillId="0" borderId="23" xfId="44" applyNumberFormat="1" applyFont="1" applyBorder="1" applyAlignment="1">
      <alignment horizontal="center"/>
    </xf>
    <xf numFmtId="192" fontId="9" fillId="0" borderId="15" xfId="44" applyNumberFormat="1" applyFont="1" applyBorder="1" applyAlignment="1">
      <alignment horizontal="center"/>
    </xf>
    <xf numFmtId="192" fontId="0" fillId="0" borderId="0" xfId="44" applyNumberFormat="1" applyFont="1" applyAlignment="1">
      <alignment/>
    </xf>
    <xf numFmtId="192" fontId="0" fillId="0" borderId="25" xfId="44" applyNumberFormat="1" applyFont="1" applyBorder="1" applyAlignment="1">
      <alignment/>
    </xf>
    <xf numFmtId="192" fontId="0" fillId="0" borderId="17" xfId="44" applyNumberFormat="1" applyFont="1" applyBorder="1" applyAlignment="1">
      <alignment/>
    </xf>
    <xf numFmtId="192" fontId="0" fillId="0" borderId="26" xfId="44" applyNumberFormat="1" applyFont="1" applyBorder="1" applyAlignment="1">
      <alignment/>
    </xf>
    <xf numFmtId="10" fontId="9" fillId="0" borderId="15" xfId="0" applyNumberFormat="1" applyFont="1" applyBorder="1" applyAlignment="1">
      <alignment horizontal="center"/>
    </xf>
    <xf numFmtId="0" fontId="0" fillId="0" borderId="0" xfId="0" applyAlignment="1">
      <alignment horizontal="centerContinuous" vertical="center"/>
    </xf>
    <xf numFmtId="0" fontId="9" fillId="0" borderId="51" xfId="0" applyFont="1" applyBorder="1" applyAlignment="1">
      <alignment/>
    </xf>
    <xf numFmtId="0" fontId="9" fillId="0" borderId="0" xfId="0" applyFont="1" applyBorder="1" applyAlignment="1">
      <alignment horizontal="center"/>
    </xf>
    <xf numFmtId="180" fontId="9" fillId="0" borderId="0" xfId="0" applyNumberFormat="1" applyFont="1" applyBorder="1" applyAlignment="1">
      <alignment horizontal="center"/>
    </xf>
    <xf numFmtId="192" fontId="9" fillId="0" borderId="0" xfId="44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12" fillId="0" borderId="37" xfId="0" applyNumberFormat="1" applyFont="1" applyBorder="1" applyAlignment="1">
      <alignment/>
    </xf>
    <xf numFmtId="2" fontId="12" fillId="0" borderId="39" xfId="0" applyNumberFormat="1" applyFont="1" applyBorder="1" applyAlignment="1">
      <alignment/>
    </xf>
    <xf numFmtId="2" fontId="12" fillId="0" borderId="42" xfId="0" applyNumberFormat="1" applyFont="1" applyBorder="1" applyAlignment="1">
      <alignment/>
    </xf>
    <xf numFmtId="2" fontId="12" fillId="0" borderId="45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39" fontId="5" fillId="0" borderId="0" xfId="0" applyNumberFormat="1" applyFont="1" applyBorder="1" applyAlignment="1" applyProtection="1">
      <alignment/>
      <protection/>
    </xf>
    <xf numFmtId="171" fontId="2" fillId="0" borderId="52" xfId="0" applyNumberFormat="1" applyFont="1" applyBorder="1" applyAlignment="1" applyProtection="1">
      <alignment/>
      <protection/>
    </xf>
    <xf numFmtId="0" fontId="9" fillId="0" borderId="53" xfId="0" applyFont="1" applyBorder="1" applyAlignment="1">
      <alignment horizontal="center"/>
    </xf>
    <xf numFmtId="0" fontId="9" fillId="0" borderId="0" xfId="0" applyFont="1" applyBorder="1" applyAlignment="1">
      <alignment/>
    </xf>
    <xf numFmtId="182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98" fontId="0" fillId="0" borderId="0" xfId="42" applyNumberFormat="1" applyFont="1" applyAlignment="1">
      <alignment/>
    </xf>
    <xf numFmtId="198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0" fontId="9" fillId="0" borderId="23" xfId="0" applyNumberFormat="1" applyFont="1" applyBorder="1" applyAlignment="1">
      <alignment horizontal="center"/>
    </xf>
    <xf numFmtId="7" fontId="0" fillId="0" borderId="54" xfId="44" applyNumberFormat="1" applyFont="1" applyBorder="1" applyAlignment="1">
      <alignment/>
    </xf>
    <xf numFmtId="7" fontId="0" fillId="0" borderId="55" xfId="44" applyNumberFormat="1" applyFont="1" applyBorder="1" applyAlignment="1">
      <alignment/>
    </xf>
    <xf numFmtId="7" fontId="0" fillId="0" borderId="56" xfId="44" applyNumberFormat="1" applyFont="1" applyBorder="1" applyAlignment="1">
      <alignment/>
    </xf>
    <xf numFmtId="17" fontId="9" fillId="0" borderId="0" xfId="0" applyNumberFormat="1" applyFont="1" applyAlignment="1">
      <alignment horizontal="center"/>
    </xf>
    <xf numFmtId="192" fontId="0" fillId="0" borderId="0" xfId="0" applyNumberFormat="1" applyAlignment="1">
      <alignment/>
    </xf>
    <xf numFmtId="0" fontId="0" fillId="0" borderId="57" xfId="0" applyBorder="1" applyAlignment="1">
      <alignment/>
    </xf>
    <xf numFmtId="17" fontId="9" fillId="0" borderId="23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" fillId="33" borderId="47" xfId="0" applyFont="1" applyFill="1" applyBorder="1" applyAlignment="1" applyProtection="1">
      <alignment horizontal="centerContinuous"/>
      <protection/>
    </xf>
    <xf numFmtId="203" fontId="8" fillId="34" borderId="18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204" fontId="8" fillId="34" borderId="17" xfId="42" applyNumberFormat="1" applyFont="1" applyFill="1" applyBorder="1" applyAlignment="1" applyProtection="1">
      <alignment/>
      <protection locked="0"/>
    </xf>
    <xf numFmtId="0" fontId="12" fillId="33" borderId="47" xfId="0" applyFont="1" applyFill="1" applyBorder="1" applyAlignment="1">
      <alignment horizontal="centerContinuous"/>
    </xf>
    <xf numFmtId="0" fontId="20" fillId="0" borderId="0" xfId="0" applyFont="1" applyAlignment="1">
      <alignment/>
    </xf>
    <xf numFmtId="191" fontId="0" fillId="0" borderId="0" xfId="0" applyNumberFormat="1" applyAlignment="1">
      <alignment/>
    </xf>
    <xf numFmtId="191" fontId="0" fillId="0" borderId="58" xfId="0" applyNumberFormat="1" applyBorder="1" applyAlignment="1">
      <alignment/>
    </xf>
    <xf numFmtId="191" fontId="9" fillId="0" borderId="59" xfId="0" applyNumberFormat="1" applyFont="1" applyBorder="1" applyAlignment="1">
      <alignment horizontal="center"/>
    </xf>
    <xf numFmtId="191" fontId="9" fillId="0" borderId="60" xfId="0" applyNumberFormat="1" applyFont="1" applyBorder="1" applyAlignment="1">
      <alignment horizontal="center"/>
    </xf>
    <xf numFmtId="194" fontId="0" fillId="0" borderId="0" xfId="44" applyNumberFormat="1" applyFont="1" applyAlignment="1">
      <alignment/>
    </xf>
    <xf numFmtId="194" fontId="9" fillId="0" borderId="61" xfId="44" applyNumberFormat="1" applyFont="1" applyBorder="1" applyAlignment="1">
      <alignment horizontal="center"/>
    </xf>
    <xf numFmtId="194" fontId="9" fillId="0" borderId="59" xfId="44" applyNumberFormat="1" applyFont="1" applyBorder="1" applyAlignment="1">
      <alignment horizontal="center"/>
    </xf>
    <xf numFmtId="194" fontId="9" fillId="0" borderId="60" xfId="44" applyNumberFormat="1" applyFont="1" applyBorder="1" applyAlignment="1">
      <alignment horizontal="center"/>
    </xf>
    <xf numFmtId="194" fontId="0" fillId="0" borderId="25" xfId="44" applyNumberFormat="1" applyFont="1" applyBorder="1" applyAlignment="1">
      <alignment/>
    </xf>
    <xf numFmtId="194" fontId="0" fillId="0" borderId="17" xfId="44" applyNumberFormat="1" applyFont="1" applyBorder="1" applyAlignment="1">
      <alignment/>
    </xf>
    <xf numFmtId="194" fontId="0" fillId="0" borderId="26" xfId="44" applyNumberFormat="1" applyFont="1" applyBorder="1" applyAlignment="1">
      <alignment/>
    </xf>
    <xf numFmtId="192" fontId="0" fillId="0" borderId="55" xfId="44" applyNumberFormat="1" applyFont="1" applyBorder="1" applyAlignment="1">
      <alignment/>
    </xf>
    <xf numFmtId="192" fontId="0" fillId="0" borderId="56" xfId="44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2" fillId="0" borderId="15" xfId="0" applyFont="1" applyBorder="1" applyAlignment="1" quotePrefix="1">
      <alignment horizontal="center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>
      <alignment horizontal="right"/>
    </xf>
    <xf numFmtId="8" fontId="12" fillId="0" borderId="0" xfId="0" applyNumberFormat="1" applyFont="1" applyAlignment="1">
      <alignment/>
    </xf>
    <xf numFmtId="0" fontId="12" fillId="0" borderId="0" xfId="0" applyFont="1" applyAlignment="1" applyProtection="1">
      <alignment/>
      <protection hidden="1"/>
    </xf>
    <xf numFmtId="180" fontId="12" fillId="0" borderId="0" xfId="0" applyNumberFormat="1" applyFont="1" applyAlignment="1" applyProtection="1">
      <alignment/>
      <protection hidden="1"/>
    </xf>
    <xf numFmtId="0" fontId="0" fillId="0" borderId="53" xfId="0" applyBorder="1" applyAlignment="1">
      <alignment/>
    </xf>
    <xf numFmtId="209" fontId="9" fillId="0" borderId="0" xfId="0" applyNumberFormat="1" applyFont="1" applyAlignment="1">
      <alignment horizontal="centerContinuous" vertical="center"/>
    </xf>
    <xf numFmtId="0" fontId="10" fillId="0" borderId="0" xfId="0" applyFont="1" applyAlignment="1" quotePrefix="1">
      <alignment/>
    </xf>
    <xf numFmtId="209" fontId="14" fillId="0" borderId="0" xfId="0" applyNumberFormat="1" applyFont="1" applyAlignment="1">
      <alignment horizontal="left"/>
    </xf>
    <xf numFmtId="209" fontId="7" fillId="0" borderId="0" xfId="0" applyNumberFormat="1" applyFont="1" applyAlignment="1">
      <alignment horizontal="left"/>
    </xf>
    <xf numFmtId="0" fontId="22" fillId="0" borderId="0" xfId="0" applyFont="1" applyFill="1" applyBorder="1" applyAlignment="1">
      <alignment/>
    </xf>
    <xf numFmtId="198" fontId="2" fillId="0" borderId="52" xfId="42" applyNumberFormat="1" applyFont="1" applyBorder="1" applyAlignment="1" applyProtection="1">
      <alignment/>
      <protection/>
    </xf>
    <xf numFmtId="37" fontId="2" fillId="0" borderId="52" xfId="0" applyNumberFormat="1" applyFont="1" applyBorder="1" applyAlignment="1" applyProtection="1">
      <alignment/>
      <protection/>
    </xf>
    <xf numFmtId="167" fontId="2" fillId="0" borderId="62" xfId="0" applyNumberFormat="1" applyFont="1" applyBorder="1" applyAlignment="1" applyProtection="1">
      <alignment/>
      <protection/>
    </xf>
    <xf numFmtId="198" fontId="2" fillId="0" borderId="13" xfId="42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167" fontId="2" fillId="0" borderId="63" xfId="0" applyNumberFormat="1" applyFont="1" applyBorder="1" applyAlignment="1" applyProtection="1">
      <alignment/>
      <protection/>
    </xf>
    <xf numFmtId="171" fontId="2" fillId="0" borderId="63" xfId="0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198" fontId="2" fillId="0" borderId="64" xfId="42" applyNumberFormat="1" applyFont="1" applyBorder="1" applyAlignment="1" applyProtection="1">
      <alignment/>
      <protection/>
    </xf>
    <xf numFmtId="37" fontId="2" fillId="0" borderId="64" xfId="0" applyNumberFormat="1" applyFont="1" applyBorder="1" applyAlignment="1" applyProtection="1">
      <alignment/>
      <protection/>
    </xf>
    <xf numFmtId="171" fontId="2" fillId="0" borderId="64" xfId="0" applyNumberFormat="1" applyFont="1" applyBorder="1" applyAlignment="1" applyProtection="1">
      <alignment/>
      <protection/>
    </xf>
    <xf numFmtId="171" fontId="2" fillId="0" borderId="65" xfId="0" applyNumberFormat="1" applyFont="1" applyBorder="1" applyAlignment="1" applyProtection="1">
      <alignment/>
      <protection/>
    </xf>
    <xf numFmtId="0" fontId="2" fillId="0" borderId="66" xfId="0" applyFont="1" applyBorder="1" applyAlignment="1" applyProtection="1">
      <alignment/>
      <protection/>
    </xf>
    <xf numFmtId="39" fontId="5" fillId="0" borderId="62" xfId="0" applyNumberFormat="1" applyFont="1" applyBorder="1" applyAlignment="1" applyProtection="1">
      <alignment/>
      <protection/>
    </xf>
    <xf numFmtId="190" fontId="2" fillId="0" borderId="67" xfId="0" applyNumberFormat="1" applyFont="1" applyBorder="1" applyAlignment="1" applyProtection="1">
      <alignment/>
      <protection/>
    </xf>
    <xf numFmtId="190" fontId="5" fillId="0" borderId="65" xfId="0" applyNumberFormat="1" applyFont="1" applyBorder="1" applyAlignment="1" applyProtection="1">
      <alignment/>
      <protection/>
    </xf>
    <xf numFmtId="43" fontId="8" fillId="34" borderId="17" xfId="42" applyNumberFormat="1" applyFont="1" applyFill="1" applyBorder="1" applyAlignment="1" applyProtection="1">
      <alignment/>
      <protection locked="0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24" fillId="0" borderId="12" xfId="0" applyFont="1" applyBorder="1" applyAlignment="1" applyProtection="1">
      <alignment/>
      <protection/>
    </xf>
    <xf numFmtId="0" fontId="24" fillId="0" borderId="66" xfId="0" applyFont="1" applyBorder="1" applyAlignment="1" applyProtection="1">
      <alignment/>
      <protection/>
    </xf>
    <xf numFmtId="39" fontId="25" fillId="0" borderId="62" xfId="0" applyNumberFormat="1" applyFont="1" applyBorder="1" applyAlignment="1" applyProtection="1">
      <alignment/>
      <protection/>
    </xf>
    <xf numFmtId="190" fontId="24" fillId="0" borderId="67" xfId="0" applyNumberFormat="1" applyFont="1" applyBorder="1" applyAlignment="1" applyProtection="1">
      <alignment/>
      <protection/>
    </xf>
    <xf numFmtId="190" fontId="25" fillId="0" borderId="65" xfId="0" applyNumberFormat="1" applyFont="1" applyBorder="1" applyAlignment="1" applyProtection="1">
      <alignment/>
      <protection/>
    </xf>
    <xf numFmtId="0" fontId="24" fillId="0" borderId="68" xfId="0" applyFont="1" applyBorder="1" applyAlignment="1" applyProtection="1">
      <alignment/>
      <protection/>
    </xf>
    <xf numFmtId="0" fontId="0" fillId="0" borderId="69" xfId="0" applyFont="1" applyBorder="1" applyAlignment="1">
      <alignment/>
    </xf>
    <xf numFmtId="0" fontId="0" fillId="3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" fillId="33" borderId="14" xfId="0" applyFont="1" applyFill="1" applyBorder="1" applyAlignment="1">
      <alignment horizontal="center"/>
    </xf>
    <xf numFmtId="192" fontId="9" fillId="33" borderId="23" xfId="44" applyNumberFormat="1" applyFont="1" applyFill="1" applyBorder="1" applyAlignment="1">
      <alignment horizontal="center"/>
    </xf>
    <xf numFmtId="192" fontId="9" fillId="33" borderId="15" xfId="44" applyNumberFormat="1" applyFont="1" applyFill="1" applyBorder="1" applyAlignment="1">
      <alignment horizontal="center"/>
    </xf>
    <xf numFmtId="192" fontId="0" fillId="33" borderId="25" xfId="44" applyNumberFormat="1" applyFont="1" applyFill="1" applyBorder="1" applyAlignment="1">
      <alignment/>
    </xf>
    <xf numFmtId="192" fontId="0" fillId="33" borderId="17" xfId="44" applyNumberFormat="1" applyFont="1" applyFill="1" applyBorder="1" applyAlignment="1">
      <alignment/>
    </xf>
    <xf numFmtId="192" fontId="0" fillId="33" borderId="26" xfId="44" applyNumberFormat="1" applyFont="1" applyFill="1" applyBorder="1" applyAlignment="1">
      <alignment/>
    </xf>
    <xf numFmtId="194" fontId="0" fillId="33" borderId="25" xfId="44" applyNumberFormat="1" applyFont="1" applyFill="1" applyBorder="1" applyAlignment="1">
      <alignment/>
    </xf>
    <xf numFmtId="194" fontId="0" fillId="33" borderId="17" xfId="44" applyNumberFormat="1" applyFont="1" applyFill="1" applyBorder="1" applyAlignment="1">
      <alignment/>
    </xf>
    <xf numFmtId="194" fontId="0" fillId="33" borderId="26" xfId="44" applyNumberFormat="1" applyFont="1" applyFill="1" applyBorder="1" applyAlignment="1">
      <alignment/>
    </xf>
    <xf numFmtId="180" fontId="12" fillId="0" borderId="19" xfId="0" applyNumberFormat="1" applyFont="1" applyBorder="1" applyAlignment="1">
      <alignment shrinkToFit="1"/>
    </xf>
    <xf numFmtId="10" fontId="9" fillId="33" borderId="15" xfId="59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left"/>
    </xf>
    <xf numFmtId="198" fontId="2" fillId="34" borderId="66" xfId="42" applyNumberFormat="1" applyFont="1" applyFill="1" applyBorder="1" applyAlignment="1" applyProtection="1">
      <alignment/>
      <protection/>
    </xf>
    <xf numFmtId="198" fontId="2" fillId="34" borderId="52" xfId="42" applyNumberFormat="1" applyFont="1" applyFill="1" applyBorder="1" applyAlignment="1" applyProtection="1">
      <alignment/>
      <protection/>
    </xf>
    <xf numFmtId="198" fontId="2" fillId="34" borderId="70" xfId="42" applyNumberFormat="1" applyFont="1" applyFill="1" applyBorder="1" applyAlignment="1" applyProtection="1">
      <alignment/>
      <protection/>
    </xf>
    <xf numFmtId="198" fontId="2" fillId="34" borderId="13" xfId="42" applyNumberFormat="1" applyFont="1" applyFill="1" applyBorder="1" applyAlignment="1" applyProtection="1">
      <alignment/>
      <protection/>
    </xf>
    <xf numFmtId="198" fontId="2" fillId="34" borderId="67" xfId="42" applyNumberFormat="1" applyFont="1" applyFill="1" applyBorder="1" applyAlignment="1" applyProtection="1">
      <alignment/>
      <protection/>
    </xf>
    <xf numFmtId="198" fontId="2" fillId="34" borderId="64" xfId="42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hidden="1"/>
    </xf>
    <xf numFmtId="194" fontId="0" fillId="0" borderId="25" xfId="44" applyNumberFormat="1" applyFont="1" applyFill="1" applyBorder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80" fontId="0" fillId="0" borderId="18" xfId="0" applyNumberFormat="1" applyBorder="1" applyAlignment="1">
      <alignment/>
    </xf>
    <xf numFmtId="0" fontId="24" fillId="0" borderId="71" xfId="0" applyFont="1" applyBorder="1" applyAlignment="1" applyProtection="1">
      <alignment/>
      <protection/>
    </xf>
    <xf numFmtId="0" fontId="16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hidden="1"/>
    </xf>
    <xf numFmtId="190" fontId="2" fillId="0" borderId="0" xfId="44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0" fontId="0" fillId="0" borderId="0" xfId="0" applyNumberForma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90" fontId="2" fillId="34" borderId="19" xfId="44" applyNumberFormat="1" applyFont="1" applyFill="1" applyBorder="1" applyAlignment="1" applyProtection="1">
      <alignment/>
      <protection locked="0"/>
    </xf>
    <xf numFmtId="190" fontId="2" fillId="34" borderId="41" xfId="44" applyNumberFormat="1" applyFont="1" applyFill="1" applyBorder="1" applyAlignment="1" applyProtection="1">
      <alignment/>
      <protection locked="0"/>
    </xf>
    <xf numFmtId="190" fontId="2" fillId="34" borderId="18" xfId="44" applyNumberFormat="1" applyFont="1" applyFill="1" applyBorder="1" applyAlignment="1" applyProtection="1">
      <alignment/>
      <protection locked="0"/>
    </xf>
    <xf numFmtId="0" fontId="12" fillId="0" borderId="0" xfId="0" applyFont="1" applyAlignment="1" quotePrefix="1">
      <alignment/>
    </xf>
    <xf numFmtId="190" fontId="15" fillId="0" borderId="0" xfId="44" applyNumberFormat="1" applyFont="1" applyFill="1" applyAlignment="1" applyProtection="1">
      <alignment/>
      <protection hidden="1"/>
    </xf>
    <xf numFmtId="214" fontId="8" fillId="34" borderId="17" xfId="42" applyNumberFormat="1" applyFont="1" applyFill="1" applyBorder="1" applyAlignment="1" applyProtection="1">
      <alignment/>
      <protection locked="0"/>
    </xf>
    <xf numFmtId="0" fontId="26" fillId="0" borderId="0" xfId="56" applyFont="1" applyFill="1" applyProtection="1">
      <alignment/>
      <protection hidden="1"/>
    </xf>
    <xf numFmtId="190" fontId="69" fillId="0" borderId="0" xfId="46" applyNumberFormat="1" applyFont="1" applyFill="1" applyBorder="1" applyAlignment="1" applyProtection="1">
      <alignment/>
      <protection locked="0"/>
    </xf>
    <xf numFmtId="0" fontId="12" fillId="0" borderId="0" xfId="56" applyFont="1" applyFill="1" applyAlignment="1" applyProtection="1">
      <alignment horizontal="left"/>
      <protection hidden="1"/>
    </xf>
    <xf numFmtId="0" fontId="12" fillId="0" borderId="0" xfId="56" applyFont="1" applyFill="1" applyProtection="1">
      <alignment/>
      <protection hidden="1"/>
    </xf>
    <xf numFmtId="0" fontId="12" fillId="0" borderId="0" xfId="56" applyFont="1" applyFill="1" applyProtection="1">
      <alignment/>
      <protection/>
    </xf>
    <xf numFmtId="190" fontId="28" fillId="36" borderId="17" xfId="46" applyNumberFormat="1" applyFont="1" applyFill="1" applyBorder="1" applyAlignment="1" applyProtection="1">
      <alignment/>
      <protection locked="0"/>
    </xf>
    <xf numFmtId="0" fontId="16" fillId="0" borderId="0" xfId="56" applyFont="1" applyFill="1" applyAlignment="1" applyProtection="1">
      <alignment horizontal="left"/>
      <protection/>
    </xf>
    <xf numFmtId="0" fontId="16" fillId="0" borderId="0" xfId="56" applyFont="1" applyFill="1" applyProtection="1">
      <alignment/>
      <protection/>
    </xf>
    <xf numFmtId="0" fontId="70" fillId="0" borderId="0" xfId="0" applyFont="1" applyFill="1" applyBorder="1" applyAlignment="1" applyProtection="1">
      <alignment/>
      <protection/>
    </xf>
    <xf numFmtId="0" fontId="71" fillId="0" borderId="0" xfId="0" applyFont="1" applyFill="1" applyBorder="1" applyAlignment="1" applyProtection="1">
      <alignment/>
      <protection/>
    </xf>
    <xf numFmtId="0" fontId="72" fillId="0" borderId="0" xfId="0" applyFont="1" applyFill="1" applyBorder="1" applyAlignment="1" applyProtection="1">
      <alignment/>
      <protection/>
    </xf>
    <xf numFmtId="167" fontId="70" fillId="0" borderId="0" xfId="0" applyNumberFormat="1" applyFont="1" applyFill="1" applyBorder="1" applyAlignment="1" applyProtection="1">
      <alignment/>
      <protection locked="0"/>
    </xf>
    <xf numFmtId="0" fontId="73" fillId="0" borderId="0" xfId="0" applyFont="1" applyFill="1" applyBorder="1" applyAlignment="1" applyProtection="1">
      <alignment horizontal="right"/>
      <protection/>
    </xf>
    <xf numFmtId="0" fontId="73" fillId="0" borderId="0" xfId="0" applyFont="1" applyFill="1" applyBorder="1" applyAlignment="1" applyProtection="1">
      <alignment/>
      <protection/>
    </xf>
    <xf numFmtId="167" fontId="70" fillId="0" borderId="0" xfId="0" applyNumberFormat="1" applyFont="1" applyFill="1" applyBorder="1" applyAlignment="1" applyProtection="1">
      <alignment/>
      <protection/>
    </xf>
    <xf numFmtId="0" fontId="70" fillId="0" borderId="0" xfId="0" applyFont="1" applyFill="1" applyBorder="1" applyAlignment="1" applyProtection="1">
      <alignment/>
      <protection/>
    </xf>
    <xf numFmtId="180" fontId="70" fillId="0" borderId="0" xfId="0" applyNumberFormat="1" applyFont="1" applyFill="1" applyBorder="1" applyAlignment="1" applyProtection="1">
      <alignment/>
      <protection/>
    </xf>
    <xf numFmtId="180" fontId="73" fillId="0" borderId="0" xfId="0" applyNumberFormat="1" applyFont="1" applyFill="1" applyBorder="1" applyAlignment="1" applyProtection="1">
      <alignment/>
      <protection/>
    </xf>
    <xf numFmtId="0" fontId="74" fillId="0" borderId="0" xfId="0" applyFont="1" applyFill="1" applyBorder="1" applyAlignment="1" applyProtection="1">
      <alignment/>
      <protection/>
    </xf>
    <xf numFmtId="0" fontId="73" fillId="0" borderId="0" xfId="0" applyFont="1" applyFill="1" applyBorder="1" applyAlignment="1">
      <alignment/>
    </xf>
    <xf numFmtId="167" fontId="70" fillId="0" borderId="0" xfId="0" applyNumberFormat="1" applyFont="1" applyFill="1" applyBorder="1" applyAlignment="1" applyProtection="1">
      <alignment/>
      <protection locked="0"/>
    </xf>
    <xf numFmtId="167" fontId="70" fillId="0" borderId="0" xfId="0" applyNumberFormat="1" applyFont="1" applyFill="1" applyBorder="1" applyAlignment="1" applyProtection="1">
      <alignment/>
      <protection/>
    </xf>
    <xf numFmtId="0" fontId="71" fillId="0" borderId="0" xfId="0" applyFont="1" applyFill="1" applyBorder="1" applyAlignment="1" applyProtection="1">
      <alignment/>
      <protection/>
    </xf>
    <xf numFmtId="10" fontId="70" fillId="0" borderId="0" xfId="59" applyNumberFormat="1" applyFont="1" applyFill="1" applyBorder="1" applyAlignment="1" applyProtection="1">
      <alignment/>
      <protection locked="0"/>
    </xf>
    <xf numFmtId="10" fontId="73" fillId="0" borderId="0" xfId="59" applyNumberFormat="1" applyFont="1" applyFill="1" applyBorder="1" applyAlignment="1" applyProtection="1">
      <alignment horizontal="right"/>
      <protection/>
    </xf>
    <xf numFmtId="10" fontId="72" fillId="0" borderId="0" xfId="59" applyNumberFormat="1" applyFont="1" applyFill="1" applyBorder="1" applyAlignment="1" applyProtection="1">
      <alignment/>
      <protection/>
    </xf>
    <xf numFmtId="167" fontId="72" fillId="0" borderId="0" xfId="0" applyNumberFormat="1" applyFont="1" applyFill="1" applyBorder="1" applyAlignment="1" applyProtection="1">
      <alignment/>
      <protection/>
    </xf>
    <xf numFmtId="0" fontId="75" fillId="0" borderId="0" xfId="0" applyFont="1" applyFill="1" applyAlignment="1" applyProtection="1">
      <alignment/>
      <protection hidden="1"/>
    </xf>
    <xf numFmtId="180" fontId="73" fillId="0" borderId="0" xfId="0" applyNumberFormat="1" applyFont="1" applyFill="1" applyAlignment="1" applyProtection="1">
      <alignment/>
      <protection hidden="1"/>
    </xf>
    <xf numFmtId="0" fontId="73" fillId="0" borderId="0" xfId="0" applyFont="1" applyFill="1" applyAlignment="1" applyProtection="1">
      <alignment/>
      <protection hidden="1"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171" fontId="70" fillId="0" borderId="0" xfId="0" applyNumberFormat="1" applyFont="1" applyFill="1" applyBorder="1" applyAlignment="1" applyProtection="1" quotePrefix="1">
      <alignment/>
      <protection/>
    </xf>
    <xf numFmtId="185" fontId="73" fillId="0" borderId="0" xfId="59" applyNumberFormat="1" applyFont="1" applyFill="1" applyBorder="1" applyAlignment="1">
      <alignment/>
    </xf>
    <xf numFmtId="185" fontId="73" fillId="0" borderId="0" xfId="59" applyNumberFormat="1" applyFont="1" applyFill="1" applyBorder="1" applyAlignment="1" applyProtection="1">
      <alignment horizontal="right"/>
      <protection/>
    </xf>
    <xf numFmtId="185" fontId="70" fillId="0" borderId="0" xfId="59" applyNumberFormat="1" applyFont="1" applyFill="1" applyBorder="1" applyAlignment="1" applyProtection="1">
      <alignment/>
      <protection locked="0"/>
    </xf>
    <xf numFmtId="0" fontId="7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67" fontId="2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/>
    </xf>
    <xf numFmtId="180" fontId="12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 applyProtection="1">
      <alignment/>
      <protection/>
    </xf>
    <xf numFmtId="180" fontId="12" fillId="0" borderId="0" xfId="0" applyNumberFormat="1" applyFont="1" applyFill="1" applyBorder="1" applyAlignment="1" applyProtection="1">
      <alignment/>
      <protection/>
    </xf>
    <xf numFmtId="180" fontId="2" fillId="0" borderId="0" xfId="0" applyNumberFormat="1" applyFont="1" applyFill="1" applyBorder="1" applyAlignment="1" applyProtection="1">
      <alignment/>
      <protection/>
    </xf>
    <xf numFmtId="10" fontId="12" fillId="0" borderId="0" xfId="59" applyNumberFormat="1" applyFont="1" applyFill="1" applyBorder="1" applyAlignment="1" applyProtection="1">
      <alignment/>
      <protection/>
    </xf>
    <xf numFmtId="10" fontId="12" fillId="0" borderId="0" xfId="59" applyNumberFormat="1" applyFont="1" applyFill="1" applyBorder="1" applyAlignment="1">
      <alignment/>
    </xf>
    <xf numFmtId="10" fontId="0" fillId="0" borderId="0" xfId="59" applyNumberFormat="1" applyFont="1" applyFill="1" applyBorder="1" applyAlignment="1" applyProtection="1">
      <alignment/>
      <protection/>
    </xf>
    <xf numFmtId="0" fontId="29" fillId="0" borderId="0" xfId="0" applyFont="1" applyAlignment="1" applyProtection="1">
      <alignment horizontal="centerContinuous"/>
      <protection/>
    </xf>
    <xf numFmtId="0" fontId="14" fillId="0" borderId="0" xfId="0" applyFont="1" applyAlignment="1">
      <alignment horizontal="right"/>
    </xf>
    <xf numFmtId="0" fontId="14" fillId="0" borderId="51" xfId="0" applyFont="1" applyBorder="1" applyAlignment="1">
      <alignment horizontal="right"/>
    </xf>
    <xf numFmtId="217" fontId="1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tabSelected="1"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39.7109375" style="0" customWidth="1"/>
    <col min="2" max="2" width="12.140625" style="0" customWidth="1"/>
    <col min="3" max="3" width="2.7109375" style="0" customWidth="1"/>
    <col min="4" max="4" width="13.57421875" style="0" customWidth="1"/>
    <col min="5" max="5" width="11.57421875" style="140" customWidth="1"/>
    <col min="6" max="6" width="8.8515625" style="74" customWidth="1"/>
    <col min="7" max="7" width="9.8515625" style="0" customWidth="1"/>
    <col min="8" max="8" width="10.421875" style="0" customWidth="1"/>
    <col min="9" max="9" width="11.8515625" style="0" customWidth="1"/>
    <col min="10" max="10" width="13.28125" style="0" customWidth="1"/>
    <col min="11" max="11" width="12.57421875" style="0" customWidth="1"/>
    <col min="12" max="12" width="16.28125" style="0" customWidth="1"/>
    <col min="13" max="13" width="0" style="0" hidden="1" customWidth="1"/>
    <col min="14" max="14" width="15.8515625" style="0" customWidth="1"/>
    <col min="15" max="15" width="15.00390625" style="0" customWidth="1"/>
    <col min="16" max="16" width="14.8515625" style="0" customWidth="1"/>
    <col min="17" max="17" width="16.28125" style="0" customWidth="1"/>
    <col min="18" max="18" width="16.421875" style="0" customWidth="1"/>
  </cols>
  <sheetData>
    <row r="1" spans="1:2" ht="18.75" thickBot="1">
      <c r="A1" s="76" t="s">
        <v>0</v>
      </c>
      <c r="B1" s="4"/>
    </row>
    <row r="2" spans="1:7" ht="21" thickBot="1">
      <c r="A2" s="298" t="s">
        <v>200</v>
      </c>
      <c r="B2" s="81" t="s">
        <v>1</v>
      </c>
      <c r="C2" s="82"/>
      <c r="D2" s="82"/>
      <c r="E2" s="137"/>
      <c r="F2" s="144"/>
      <c r="G2" s="83"/>
    </row>
    <row r="3" spans="1:4" ht="15">
      <c r="A3" s="232"/>
      <c r="B3" s="138"/>
      <c r="C3" s="77" t="s">
        <v>2</v>
      </c>
      <c r="D3" s="78" t="s">
        <v>3</v>
      </c>
    </row>
    <row r="4" spans="1:5" ht="15">
      <c r="A4" s="4"/>
      <c r="B4" s="79"/>
      <c r="C4" s="77"/>
      <c r="D4" s="78"/>
      <c r="E4" s="4"/>
    </row>
    <row r="5" spans="1:11" ht="15">
      <c r="A5" s="141" t="s">
        <v>184</v>
      </c>
      <c r="B5" s="188"/>
      <c r="C5" s="142" t="s">
        <v>2</v>
      </c>
      <c r="D5" s="78" t="s">
        <v>4</v>
      </c>
      <c r="H5" s="200" t="s">
        <v>172</v>
      </c>
      <c r="I5" s="200"/>
      <c r="J5" s="200"/>
      <c r="K5" s="201"/>
    </row>
    <row r="6" spans="1:11" ht="15">
      <c r="A6" s="141" t="s">
        <v>183</v>
      </c>
      <c r="B6" s="143"/>
      <c r="C6" s="142" t="s">
        <v>2</v>
      </c>
      <c r="D6" s="78" t="s">
        <v>5</v>
      </c>
      <c r="E6" s="139"/>
      <c r="H6" s="200" t="s">
        <v>173</v>
      </c>
      <c r="I6" s="200"/>
      <c r="J6" s="200"/>
      <c r="K6" s="202"/>
    </row>
    <row r="7" spans="1:11" ht="15">
      <c r="A7" s="4" t="s">
        <v>181</v>
      </c>
      <c r="B7" s="188"/>
      <c r="C7" s="142" t="s">
        <v>2</v>
      </c>
      <c r="D7" s="78" t="s">
        <v>4</v>
      </c>
      <c r="H7" s="200" t="s">
        <v>174</v>
      </c>
      <c r="I7" s="200"/>
      <c r="J7" s="200"/>
      <c r="K7" s="200"/>
    </row>
    <row r="8" spans="1:5" ht="15">
      <c r="A8" s="4" t="s">
        <v>182</v>
      </c>
      <c r="B8" s="143"/>
      <c r="C8" s="142" t="s">
        <v>2</v>
      </c>
      <c r="D8" s="78" t="s">
        <v>5</v>
      </c>
      <c r="E8" s="139"/>
    </row>
    <row r="9" spans="1:4" ht="15">
      <c r="A9" s="84" t="s">
        <v>167</v>
      </c>
      <c r="B9" s="248"/>
      <c r="C9" s="142" t="s">
        <v>2</v>
      </c>
      <c r="D9" s="78" t="s">
        <v>199</v>
      </c>
    </row>
    <row r="10" spans="1:9" ht="15">
      <c r="A10" s="4" t="s">
        <v>6</v>
      </c>
      <c r="B10" s="143"/>
      <c r="C10" s="142" t="s">
        <v>2</v>
      </c>
      <c r="D10" s="78" t="s">
        <v>5</v>
      </c>
      <c r="E10" s="80"/>
      <c r="H10" s="86"/>
      <c r="I10" s="86"/>
    </row>
    <row r="11" spans="3:9" ht="15">
      <c r="C11" s="121"/>
      <c r="D11" s="122"/>
      <c r="E11" s="122"/>
      <c r="F11" s="122"/>
      <c r="G11" s="123"/>
      <c r="H11" s="123"/>
      <c r="I11" s="123"/>
    </row>
    <row r="12" spans="1:9" ht="15">
      <c r="A12" s="242" t="s">
        <v>9</v>
      </c>
      <c r="B12" s="241"/>
      <c r="C12" s="121"/>
      <c r="D12" s="122"/>
      <c r="E12" s="122"/>
      <c r="F12" s="122"/>
      <c r="G12" s="123"/>
      <c r="H12" s="123"/>
      <c r="I12" s="123"/>
    </row>
    <row r="13" spans="1:9" ht="15">
      <c r="A13" s="242" t="s">
        <v>10</v>
      </c>
      <c r="B13" s="243"/>
      <c r="C13" s="121"/>
      <c r="D13" s="122"/>
      <c r="E13" s="122"/>
      <c r="F13" s="122"/>
      <c r="G13" s="123"/>
      <c r="H13" s="123"/>
      <c r="I13" s="123"/>
    </row>
    <row r="14" spans="1:9" ht="15">
      <c r="A14" s="242" t="s">
        <v>11</v>
      </c>
      <c r="B14" s="244"/>
      <c r="C14" s="121"/>
      <c r="D14" s="122"/>
      <c r="E14" s="122"/>
      <c r="F14" s="122"/>
      <c r="G14" s="123"/>
      <c r="H14" s="123"/>
      <c r="I14" s="123"/>
    </row>
    <row r="15" spans="1:9" ht="15">
      <c r="A15" s="242" t="s">
        <v>12</v>
      </c>
      <c r="B15" s="244"/>
      <c r="C15" s="121"/>
      <c r="D15" s="122"/>
      <c r="E15" s="122"/>
      <c r="F15" s="122"/>
      <c r="G15" s="123"/>
      <c r="H15" s="123"/>
      <c r="I15" s="123"/>
    </row>
    <row r="16" spans="1:9" ht="15">
      <c r="A16" s="242" t="s">
        <v>13</v>
      </c>
      <c r="B16" s="244"/>
      <c r="C16" s="121"/>
      <c r="D16" s="122"/>
      <c r="E16" s="122"/>
      <c r="F16" s="122"/>
      <c r="G16" s="123"/>
      <c r="H16" s="123"/>
      <c r="I16" s="123"/>
    </row>
    <row r="17" spans="1:9" ht="15" hidden="1">
      <c r="A17" s="242" t="s">
        <v>188</v>
      </c>
      <c r="B17" s="244">
        <v>0.0367</v>
      </c>
      <c r="C17" s="121"/>
      <c r="D17" s="122"/>
      <c r="E17" s="122"/>
      <c r="F17" s="122"/>
      <c r="G17" s="123"/>
      <c r="H17" s="123"/>
      <c r="I17" s="123"/>
    </row>
    <row r="18" spans="1:9" ht="15" hidden="1">
      <c r="A18" s="242" t="s">
        <v>187</v>
      </c>
      <c r="B18" s="244">
        <v>0.0544</v>
      </c>
      <c r="C18" s="121"/>
      <c r="D18" s="122"/>
      <c r="E18" s="122"/>
      <c r="F18" s="122"/>
      <c r="G18" s="123"/>
      <c r="H18" s="123"/>
      <c r="I18" s="123"/>
    </row>
    <row r="19" spans="1:9" ht="15">
      <c r="A19" s="242" t="s">
        <v>14</v>
      </c>
      <c r="B19" s="244"/>
      <c r="C19" s="121"/>
      <c r="D19" s="122"/>
      <c r="E19" s="122"/>
      <c r="F19" s="122"/>
      <c r="G19" s="123"/>
      <c r="H19" s="123"/>
      <c r="I19" s="123"/>
    </row>
    <row r="20" spans="1:9" ht="15">
      <c r="A20" s="221" t="s">
        <v>192</v>
      </c>
      <c r="B20" s="245"/>
      <c r="C20" s="121"/>
      <c r="D20" s="122"/>
      <c r="E20" s="247">
        <f>IF(ROUND(B20,2)&gt;B20,ROUND(B20,2),ROUND(B20+0.01,2))</f>
        <v>0.01</v>
      </c>
      <c r="F20" s="122"/>
      <c r="G20" s="123"/>
      <c r="H20" s="123"/>
      <c r="I20" s="123"/>
    </row>
    <row r="21" spans="1:9" ht="15" hidden="1">
      <c r="A21" s="242" t="s">
        <v>15</v>
      </c>
      <c r="B21" s="244">
        <v>0.028</v>
      </c>
      <c r="C21" s="121"/>
      <c r="D21" s="122"/>
      <c r="E21" s="122"/>
      <c r="F21" s="122"/>
      <c r="G21" s="123"/>
      <c r="H21" s="123"/>
      <c r="I21" s="123"/>
    </row>
    <row r="22" spans="1:9" ht="15" hidden="1">
      <c r="A22" s="242" t="s">
        <v>16</v>
      </c>
      <c r="B22" s="245">
        <v>0.1129</v>
      </c>
      <c r="C22" s="121"/>
      <c r="D22" s="122"/>
      <c r="E22" s="122"/>
      <c r="F22" s="122"/>
      <c r="G22" s="123"/>
      <c r="H22" s="123"/>
      <c r="I22" s="123"/>
    </row>
    <row r="23" spans="1:9" ht="15">
      <c r="A23" s="233"/>
      <c r="B23" s="234"/>
      <c r="C23" s="235"/>
      <c r="D23" s="236"/>
      <c r="E23" s="236"/>
      <c r="F23" s="236"/>
      <c r="G23" s="228"/>
      <c r="H23" s="229"/>
      <c r="I23" s="229"/>
    </row>
    <row r="24" spans="1:9" ht="15.75">
      <c r="A24" s="249" t="s">
        <v>193</v>
      </c>
      <c r="B24" s="250"/>
      <c r="C24" s="251"/>
      <c r="D24" s="252"/>
      <c r="E24" s="236"/>
      <c r="F24" s="236"/>
      <c r="G24" s="228"/>
      <c r="H24" s="229"/>
      <c r="I24" s="229"/>
    </row>
    <row r="25" spans="1:9" ht="15">
      <c r="A25" s="253" t="s">
        <v>194</v>
      </c>
      <c r="B25" s="254"/>
      <c r="C25" s="255" t="s">
        <v>2</v>
      </c>
      <c r="D25" s="256" t="s">
        <v>5</v>
      </c>
      <c r="E25" s="236"/>
      <c r="F25" s="236"/>
      <c r="G25" s="228"/>
      <c r="H25" s="229"/>
      <c r="I25" s="229"/>
    </row>
    <row r="26" spans="1:9" ht="15">
      <c r="A26" s="253" t="s">
        <v>195</v>
      </c>
      <c r="B26" s="254"/>
      <c r="C26" s="255" t="s">
        <v>2</v>
      </c>
      <c r="D26" s="256" t="s">
        <v>5</v>
      </c>
      <c r="E26" s="236"/>
      <c r="F26" s="236"/>
      <c r="G26" s="228"/>
      <c r="H26" s="229"/>
      <c r="I26" s="229"/>
    </row>
    <row r="27" spans="1:9" ht="15">
      <c r="A27" s="253" t="s">
        <v>198</v>
      </c>
      <c r="B27" s="254"/>
      <c r="C27" s="255" t="s">
        <v>2</v>
      </c>
      <c r="D27" s="256" t="s">
        <v>5</v>
      </c>
      <c r="E27" s="236"/>
      <c r="F27" s="236"/>
      <c r="G27" s="286"/>
      <c r="H27" s="229"/>
      <c r="I27" s="229"/>
    </row>
    <row r="28" spans="1:9" ht="15.75">
      <c r="A28" s="257"/>
      <c r="B28" s="258"/>
      <c r="C28" s="259"/>
      <c r="D28" s="287"/>
      <c r="E28" s="287"/>
      <c r="F28" s="240"/>
      <c r="G28" s="288"/>
      <c r="H28" s="238"/>
      <c r="I28" s="230"/>
    </row>
    <row r="29" spans="1:9" ht="15.75">
      <c r="A29" s="258" t="s">
        <v>7</v>
      </c>
      <c r="B29" s="260">
        <v>0.2927</v>
      </c>
      <c r="C29" s="261"/>
      <c r="D29" s="290"/>
      <c r="E29" s="291"/>
      <c r="F29" s="240"/>
      <c r="G29" s="288"/>
      <c r="H29" s="238"/>
      <c r="I29" s="230"/>
    </row>
    <row r="30" spans="1:9" ht="15.75">
      <c r="A30" s="258"/>
      <c r="B30" s="263"/>
      <c r="C30" s="264"/>
      <c r="D30" s="242"/>
      <c r="E30" s="291"/>
      <c r="F30" s="240"/>
      <c r="G30" s="288"/>
      <c r="H30" s="238"/>
      <c r="I30" s="230" t="s">
        <v>8</v>
      </c>
    </row>
    <row r="31" spans="1:9" ht="15.75">
      <c r="A31" s="258"/>
      <c r="B31" s="263"/>
      <c r="C31" s="264"/>
      <c r="D31" s="292"/>
      <c r="E31" s="291"/>
      <c r="F31" s="240"/>
      <c r="G31" s="288"/>
      <c r="H31" s="239"/>
      <c r="I31" s="228"/>
    </row>
    <row r="32" spans="1:9" ht="15.75">
      <c r="A32" s="258" t="s">
        <v>168</v>
      </c>
      <c r="B32" s="260">
        <v>0.0142</v>
      </c>
      <c r="C32" s="261"/>
      <c r="D32" s="293"/>
      <c r="E32" s="291"/>
      <c r="F32" s="240"/>
      <c r="G32" s="288"/>
      <c r="H32" s="239"/>
      <c r="I32" s="228"/>
    </row>
    <row r="33" spans="1:9" ht="15.75">
      <c r="A33" s="258"/>
      <c r="B33" s="260"/>
      <c r="C33" s="261"/>
      <c r="D33" s="293"/>
      <c r="E33" s="291"/>
      <c r="F33" s="240"/>
      <c r="G33" s="288"/>
      <c r="H33" s="239"/>
      <c r="I33" s="228"/>
    </row>
    <row r="34" spans="1:9" ht="15.75">
      <c r="A34" s="258" t="s">
        <v>185</v>
      </c>
      <c r="B34" s="260">
        <v>0</v>
      </c>
      <c r="C34" s="261"/>
      <c r="D34" s="293"/>
      <c r="E34" s="291"/>
      <c r="F34" s="240"/>
      <c r="G34" s="288"/>
      <c r="H34" s="239"/>
      <c r="I34" s="228"/>
    </row>
    <row r="35" spans="1:9" ht="15.75">
      <c r="A35" s="258"/>
      <c r="B35" s="263"/>
      <c r="C35" s="264"/>
      <c r="D35" s="242"/>
      <c r="E35" s="291"/>
      <c r="F35" s="240"/>
      <c r="G35" s="288"/>
      <c r="H35" s="239"/>
      <c r="I35" s="228"/>
    </row>
    <row r="36" spans="1:9" ht="18">
      <c r="A36" s="267" t="s">
        <v>17</v>
      </c>
      <c r="B36" s="263"/>
      <c r="C36" s="264"/>
      <c r="D36" s="242"/>
      <c r="E36" s="291"/>
      <c r="F36" s="240"/>
      <c r="G36" s="288"/>
      <c r="H36" s="238"/>
      <c r="I36" s="230"/>
    </row>
    <row r="37" spans="1:9" ht="15.75">
      <c r="A37" s="258" t="s">
        <v>18</v>
      </c>
      <c r="B37" s="266">
        <v>0</v>
      </c>
      <c r="C37" s="261"/>
      <c r="D37" s="293"/>
      <c r="E37" s="293"/>
      <c r="F37" s="240"/>
      <c r="G37" s="288"/>
      <c r="H37" s="238"/>
      <c r="I37" s="230"/>
    </row>
    <row r="38" spans="1:9" ht="15.75">
      <c r="A38" s="258" t="s">
        <v>19</v>
      </c>
      <c r="B38" s="266">
        <v>0.0001</v>
      </c>
      <c r="C38" s="261"/>
      <c r="D38" s="293"/>
      <c r="E38" s="293"/>
      <c r="F38" s="240"/>
      <c r="G38" s="288"/>
      <c r="H38" s="238"/>
      <c r="I38" s="230"/>
    </row>
    <row r="39" spans="1:9" ht="15.75">
      <c r="A39" s="258" t="s">
        <v>20</v>
      </c>
      <c r="B39" s="266">
        <v>0.0001</v>
      </c>
      <c r="C39" s="261"/>
      <c r="D39" s="293"/>
      <c r="E39" s="293"/>
      <c r="F39" s="240"/>
      <c r="G39" s="288"/>
      <c r="H39" s="238"/>
      <c r="I39" s="230"/>
    </row>
    <row r="40" spans="1:9" ht="15.75">
      <c r="A40" s="258" t="s">
        <v>21</v>
      </c>
      <c r="B40" s="266">
        <v>0.0016</v>
      </c>
      <c r="C40" s="261"/>
      <c r="D40" s="293"/>
      <c r="E40" s="293"/>
      <c r="F40" s="240"/>
      <c r="G40" s="288"/>
      <c r="H40" s="238"/>
      <c r="I40" s="230"/>
    </row>
    <row r="41" spans="1:9" ht="15.75">
      <c r="A41" s="258" t="s">
        <v>22</v>
      </c>
      <c r="B41" s="266">
        <f>B25</f>
        <v>0</v>
      </c>
      <c r="C41" s="261"/>
      <c r="D41" s="293"/>
      <c r="E41" s="293"/>
      <c r="F41" s="240"/>
      <c r="G41" s="288"/>
      <c r="H41" s="238"/>
      <c r="I41" s="230"/>
    </row>
    <row r="42" spans="1:9" ht="15.75">
      <c r="A42" s="258" t="s">
        <v>23</v>
      </c>
      <c r="B42" s="266">
        <f>B26</f>
        <v>0</v>
      </c>
      <c r="C42" s="261"/>
      <c r="D42" s="293"/>
      <c r="E42" s="293"/>
      <c r="F42" s="240"/>
      <c r="G42" s="288"/>
      <c r="H42" s="238"/>
      <c r="I42" s="230"/>
    </row>
    <row r="43" spans="1:9" ht="15.75">
      <c r="A43" s="258" t="s">
        <v>197</v>
      </c>
      <c r="B43" s="266">
        <f>B27</f>
        <v>0</v>
      </c>
      <c r="C43" s="261"/>
      <c r="D43" s="293"/>
      <c r="E43" s="293"/>
      <c r="F43" s="240"/>
      <c r="G43" s="288"/>
      <c r="H43" s="238"/>
      <c r="I43" s="230"/>
    </row>
    <row r="44" spans="1:9" ht="15.75">
      <c r="A44" s="258" t="s">
        <v>24</v>
      </c>
      <c r="B44" s="266">
        <v>0.0409</v>
      </c>
      <c r="C44" s="261"/>
      <c r="D44" s="293"/>
      <c r="E44" s="293"/>
      <c r="F44" s="240"/>
      <c r="G44" s="288"/>
      <c r="H44" s="238"/>
      <c r="I44" s="230"/>
    </row>
    <row r="45" spans="1:9" ht="15.75">
      <c r="A45" s="258" t="s">
        <v>169</v>
      </c>
      <c r="B45" s="266">
        <v>0.1654</v>
      </c>
      <c r="C45" s="261"/>
      <c r="D45" s="293"/>
      <c r="E45" s="293"/>
      <c r="F45" s="240"/>
      <c r="G45" s="288"/>
      <c r="H45" s="238"/>
      <c r="I45" s="230"/>
    </row>
    <row r="46" spans="1:9" ht="15.75">
      <c r="A46" s="258"/>
      <c r="B46" s="266"/>
      <c r="C46" s="261"/>
      <c r="D46" s="293"/>
      <c r="E46" s="293"/>
      <c r="F46" s="240"/>
      <c r="G46" s="288"/>
      <c r="H46" s="238"/>
      <c r="I46" s="230"/>
    </row>
    <row r="47" spans="1:9" ht="18">
      <c r="A47" s="267" t="s">
        <v>25</v>
      </c>
      <c r="B47" s="263"/>
      <c r="C47" s="265"/>
      <c r="D47" s="292"/>
      <c r="E47" s="240"/>
      <c r="F47" s="240"/>
      <c r="G47" s="288"/>
      <c r="H47" s="238"/>
      <c r="I47" s="230"/>
    </row>
    <row r="48" spans="1:9" ht="15.75">
      <c r="A48" s="258" t="s">
        <v>26</v>
      </c>
      <c r="B48" s="269">
        <v>0.1909</v>
      </c>
      <c r="C48" s="261"/>
      <c r="D48" s="289"/>
      <c r="E48" s="293"/>
      <c r="F48" s="240"/>
      <c r="G48" s="288"/>
      <c r="H48" s="238"/>
      <c r="I48" s="230"/>
    </row>
    <row r="49" spans="1:9" ht="15.75">
      <c r="A49" s="258" t="s">
        <v>27</v>
      </c>
      <c r="B49" s="269">
        <v>0.1909</v>
      </c>
      <c r="C49" s="261"/>
      <c r="D49" s="289"/>
      <c r="E49" s="293"/>
      <c r="F49" s="240"/>
      <c r="G49" s="288"/>
      <c r="H49" s="238"/>
      <c r="I49" s="230"/>
    </row>
    <row r="50" spans="1:9" ht="15.75">
      <c r="A50" s="258" t="s">
        <v>28</v>
      </c>
      <c r="B50" s="269">
        <v>0.0273</v>
      </c>
      <c r="C50" s="261"/>
      <c r="D50" s="289"/>
      <c r="E50" s="293"/>
      <c r="F50" s="240"/>
      <c r="G50" s="288"/>
      <c r="H50" s="238"/>
      <c r="I50" s="230"/>
    </row>
    <row r="51" spans="1:9" ht="15.75">
      <c r="A51" s="258" t="s">
        <v>29</v>
      </c>
      <c r="B51" s="269">
        <v>0.1868</v>
      </c>
      <c r="C51" s="261"/>
      <c r="D51" s="289"/>
      <c r="E51" s="293"/>
      <c r="F51" s="240"/>
      <c r="G51" s="288"/>
      <c r="H51" s="238"/>
      <c r="I51" s="230"/>
    </row>
    <row r="52" spans="1:9" ht="15.75">
      <c r="A52" s="258" t="s">
        <v>30</v>
      </c>
      <c r="B52" s="269">
        <v>0.7001</v>
      </c>
      <c r="C52" s="261"/>
      <c r="D52" s="289"/>
      <c r="E52" s="293"/>
      <c r="F52" s="240"/>
      <c r="G52" s="288"/>
      <c r="H52" s="238"/>
      <c r="I52" s="230"/>
    </row>
    <row r="53" spans="1:9" ht="15">
      <c r="A53" s="257"/>
      <c r="B53" s="270"/>
      <c r="C53" s="257"/>
      <c r="D53" s="294"/>
      <c r="E53" s="240"/>
      <c r="F53" s="240"/>
      <c r="G53" s="288"/>
      <c r="H53" s="238"/>
      <c r="I53" s="230"/>
    </row>
    <row r="54" spans="1:9" ht="15.75">
      <c r="A54" s="271" t="s">
        <v>31</v>
      </c>
      <c r="B54" s="272">
        <v>0.034</v>
      </c>
      <c r="C54" s="273"/>
      <c r="D54" s="295"/>
      <c r="E54" s="296"/>
      <c r="F54" s="240"/>
      <c r="G54" s="288"/>
      <c r="H54" s="238"/>
      <c r="I54" s="230"/>
    </row>
    <row r="55" spans="1:9" ht="15">
      <c r="A55" s="259"/>
      <c r="B55" s="274" t="s">
        <v>8</v>
      </c>
      <c r="C55" s="274"/>
      <c r="D55" s="297"/>
      <c r="E55" s="296"/>
      <c r="F55" s="240"/>
      <c r="G55" s="288"/>
      <c r="H55" s="238"/>
      <c r="I55" s="230"/>
    </row>
    <row r="56" spans="1:9" ht="15.75">
      <c r="A56" s="271" t="s">
        <v>32</v>
      </c>
      <c r="B56" s="272">
        <v>0.027</v>
      </c>
      <c r="C56" s="273"/>
      <c r="D56" s="295"/>
      <c r="E56" s="296"/>
      <c r="F56" s="240"/>
      <c r="G56" s="288"/>
      <c r="H56" s="238"/>
      <c r="I56" s="230"/>
    </row>
    <row r="57" spans="1:9" ht="15">
      <c r="A57" s="259"/>
      <c r="B57" s="275"/>
      <c r="C57" s="259"/>
      <c r="D57" s="259"/>
      <c r="E57" s="268"/>
      <c r="F57" s="268"/>
      <c r="G57" s="171"/>
      <c r="H57" s="238"/>
      <c r="I57" s="230"/>
    </row>
    <row r="58" spans="1:9" ht="15.75">
      <c r="A58" s="276" t="s">
        <v>175</v>
      </c>
      <c r="B58" s="277">
        <f>ROUND(B60/214.823*Consumer_Price_Index,4)</f>
        <v>0</v>
      </c>
      <c r="C58" s="278"/>
      <c r="D58" s="277"/>
      <c r="E58" s="277"/>
      <c r="F58" s="278"/>
      <c r="G58" s="171"/>
      <c r="H58" s="238"/>
      <c r="I58" s="230"/>
    </row>
    <row r="59" spans="1:9" ht="15.75">
      <c r="A59" s="271"/>
      <c r="B59" s="275"/>
      <c r="C59" s="259"/>
      <c r="D59" s="266"/>
      <c r="E59" s="268"/>
      <c r="F59" s="268"/>
      <c r="G59" s="171"/>
      <c r="H59" s="238"/>
      <c r="I59" s="230"/>
    </row>
    <row r="60" spans="1:9" ht="15.75">
      <c r="A60" s="271" t="s">
        <v>33</v>
      </c>
      <c r="B60" s="266">
        <v>0.1249</v>
      </c>
      <c r="C60" s="261"/>
      <c r="D60" s="266"/>
      <c r="E60" s="268"/>
      <c r="F60" s="268"/>
      <c r="G60" s="171"/>
      <c r="H60" s="238"/>
      <c r="I60" s="230"/>
    </row>
    <row r="61" spans="1:9" ht="15">
      <c r="A61" s="279"/>
      <c r="B61" s="279"/>
      <c r="C61" s="279"/>
      <c r="D61" s="279"/>
      <c r="E61" s="280"/>
      <c r="F61" s="268"/>
      <c r="G61" s="171"/>
      <c r="H61" s="238"/>
      <c r="I61" s="230"/>
    </row>
    <row r="62" spans="1:9" ht="15.75">
      <c r="A62" s="271" t="s">
        <v>36</v>
      </c>
      <c r="B62" s="275" t="s">
        <v>8</v>
      </c>
      <c r="C62" s="259"/>
      <c r="D62" s="259"/>
      <c r="E62" s="268"/>
      <c r="F62" s="268"/>
      <c r="G62" s="171"/>
      <c r="H62" s="238"/>
      <c r="I62" s="230"/>
    </row>
    <row r="63" spans="1:9" ht="15.75">
      <c r="A63" s="258" t="s">
        <v>37</v>
      </c>
      <c r="B63" s="268">
        <v>0.005</v>
      </c>
      <c r="C63" s="268"/>
      <c r="D63" s="268"/>
      <c r="E63" s="268"/>
      <c r="F63" s="268"/>
      <c r="G63" s="171"/>
      <c r="H63" s="238"/>
      <c r="I63" s="230"/>
    </row>
    <row r="64" spans="1:9" ht="15.75">
      <c r="A64" s="258" t="s">
        <v>38</v>
      </c>
      <c r="B64" s="268">
        <f>B$63</f>
        <v>0.005</v>
      </c>
      <c r="C64" s="268"/>
      <c r="D64" s="268"/>
      <c r="E64" s="268"/>
      <c r="F64" s="268"/>
      <c r="G64" s="171"/>
      <c r="H64" s="238"/>
      <c r="I64" s="230"/>
    </row>
    <row r="65" spans="1:9" ht="15.75">
      <c r="A65" s="258" t="s">
        <v>39</v>
      </c>
      <c r="B65" s="268">
        <f aca="true" t="shared" si="0" ref="B65:B70">B$63</f>
        <v>0.005</v>
      </c>
      <c r="C65" s="268"/>
      <c r="D65" s="268"/>
      <c r="E65" s="268"/>
      <c r="F65" s="268"/>
      <c r="G65" s="171"/>
      <c r="H65" s="238"/>
      <c r="I65" s="230"/>
    </row>
    <row r="66" spans="1:9" ht="15.75">
      <c r="A66" s="258" t="s">
        <v>40</v>
      </c>
      <c r="B66" s="268">
        <f t="shared" si="0"/>
        <v>0.005</v>
      </c>
      <c r="C66" s="268"/>
      <c r="D66" s="268"/>
      <c r="E66" s="268"/>
      <c r="F66" s="268"/>
      <c r="G66" s="171"/>
      <c r="H66" s="238"/>
      <c r="I66" s="230"/>
    </row>
    <row r="67" spans="1:9" ht="15.75">
      <c r="A67" s="258" t="s">
        <v>41</v>
      </c>
      <c r="B67" s="268">
        <f t="shared" si="0"/>
        <v>0.005</v>
      </c>
      <c r="C67" s="268"/>
      <c r="D67" s="268"/>
      <c r="E67" s="268"/>
      <c r="F67" s="268"/>
      <c r="G67" s="171"/>
      <c r="H67" s="238"/>
      <c r="I67" s="230"/>
    </row>
    <row r="68" spans="1:9" ht="15.75">
      <c r="A68" s="258" t="s">
        <v>42</v>
      </c>
      <c r="B68" s="268">
        <f t="shared" si="0"/>
        <v>0.005</v>
      </c>
      <c r="C68" s="268"/>
      <c r="D68" s="268"/>
      <c r="E68" s="268"/>
      <c r="F68" s="268"/>
      <c r="G68" s="171"/>
      <c r="H68" s="238"/>
      <c r="I68" s="230"/>
    </row>
    <row r="69" spans="1:9" ht="15.75">
      <c r="A69" s="258" t="s">
        <v>170</v>
      </c>
      <c r="B69" s="268">
        <f t="shared" si="0"/>
        <v>0.005</v>
      </c>
      <c r="C69" s="268"/>
      <c r="D69" s="268"/>
      <c r="E69" s="268"/>
      <c r="F69" s="268"/>
      <c r="G69" s="288"/>
      <c r="H69" s="238"/>
      <c r="I69" s="230"/>
    </row>
    <row r="70" spans="1:9" ht="15.75">
      <c r="A70" s="258" t="s">
        <v>171</v>
      </c>
      <c r="B70" s="268">
        <f t="shared" si="0"/>
        <v>0.005</v>
      </c>
      <c r="C70" s="268"/>
      <c r="D70" s="268"/>
      <c r="E70" s="268"/>
      <c r="F70" s="268"/>
      <c r="G70" s="288"/>
      <c r="H70" s="238"/>
      <c r="I70" s="230"/>
    </row>
    <row r="71" spans="1:9" ht="15.75">
      <c r="A71" s="271"/>
      <c r="B71" s="275"/>
      <c r="C71" s="259"/>
      <c r="D71" s="259"/>
      <c r="E71" s="281"/>
      <c r="F71" s="268"/>
      <c r="G71" s="288"/>
      <c r="H71" s="238"/>
      <c r="I71" s="230"/>
    </row>
    <row r="72" spans="1:9" ht="15.75">
      <c r="A72" s="271" t="s">
        <v>34</v>
      </c>
      <c r="B72" s="282">
        <v>0.125</v>
      </c>
      <c r="C72" s="283"/>
      <c r="D72" s="266"/>
      <c r="E72" s="284"/>
      <c r="F72" s="268"/>
      <c r="G72" s="288"/>
      <c r="H72" s="238"/>
      <c r="I72" s="230"/>
    </row>
    <row r="73" spans="1:9" ht="15">
      <c r="A73" s="259"/>
      <c r="B73" s="275"/>
      <c r="C73" s="259"/>
      <c r="D73" s="259"/>
      <c r="E73" s="268"/>
      <c r="F73" s="268"/>
      <c r="G73" s="288"/>
      <c r="H73" s="238"/>
      <c r="I73" s="230"/>
    </row>
    <row r="74" spans="1:9" ht="15.75">
      <c r="A74" s="271" t="s">
        <v>35</v>
      </c>
      <c r="B74" s="260">
        <v>0.2466</v>
      </c>
      <c r="C74" s="261"/>
      <c r="D74" s="262"/>
      <c r="E74" s="268"/>
      <c r="F74" s="268"/>
      <c r="G74" s="288"/>
      <c r="H74" s="238"/>
      <c r="I74" s="230"/>
    </row>
    <row r="75" spans="1:9" ht="15.75">
      <c r="A75" s="271"/>
      <c r="B75" s="275"/>
      <c r="C75" s="259"/>
      <c r="D75" s="259"/>
      <c r="E75" s="268"/>
      <c r="F75" s="268"/>
      <c r="G75" s="288"/>
      <c r="H75" s="238"/>
      <c r="I75" s="230"/>
    </row>
    <row r="76" spans="1:9" ht="15">
      <c r="A76" s="285"/>
      <c r="B76" s="285"/>
      <c r="C76" s="285"/>
      <c r="D76" s="285"/>
      <c r="E76" s="268"/>
      <c r="F76" s="268"/>
      <c r="G76" s="288"/>
      <c r="H76" s="230"/>
      <c r="I76" s="230"/>
    </row>
    <row r="77" spans="1:9" ht="15">
      <c r="A77" s="279"/>
      <c r="B77" s="279"/>
      <c r="C77" s="279"/>
      <c r="D77" s="279"/>
      <c r="E77" s="280"/>
      <c r="F77" s="280"/>
      <c r="G77" s="286"/>
      <c r="H77" s="230"/>
      <c r="I77" s="230"/>
    </row>
    <row r="78" spans="1:9" ht="15">
      <c r="A78" s="279"/>
      <c r="B78" s="279"/>
      <c r="C78" s="279"/>
      <c r="D78" s="279"/>
      <c r="E78" s="280"/>
      <c r="F78" s="280"/>
      <c r="G78" s="286"/>
      <c r="H78" s="230"/>
      <c r="I78" s="230"/>
    </row>
    <row r="79" spans="1:9" ht="15">
      <c r="A79" s="279"/>
      <c r="B79" s="279"/>
      <c r="C79" s="279"/>
      <c r="D79" s="279"/>
      <c r="E79" s="280"/>
      <c r="F79" s="280"/>
      <c r="G79" s="286"/>
      <c r="H79" s="230"/>
      <c r="I79" s="230"/>
    </row>
    <row r="80" spans="1:9" ht="15">
      <c r="A80" s="279"/>
      <c r="B80" s="279"/>
      <c r="C80" s="279"/>
      <c r="D80" s="279"/>
      <c r="E80" s="280"/>
      <c r="F80" s="280"/>
      <c r="G80" s="286"/>
      <c r="H80" s="230"/>
      <c r="I80" s="230"/>
    </row>
    <row r="81" spans="1:9" ht="15">
      <c r="A81" s="279"/>
      <c r="B81" s="279"/>
      <c r="C81" s="279"/>
      <c r="D81" s="279"/>
      <c r="E81" s="280"/>
      <c r="F81" s="280"/>
      <c r="G81" s="286"/>
      <c r="H81" s="230"/>
      <c r="I81" s="230"/>
    </row>
    <row r="82" spans="1:9" ht="15">
      <c r="A82" s="279"/>
      <c r="B82" s="279"/>
      <c r="C82" s="279"/>
      <c r="D82" s="279"/>
      <c r="E82" s="280"/>
      <c r="F82" s="280"/>
      <c r="G82" s="286"/>
      <c r="H82" s="230"/>
      <c r="I82" s="230"/>
    </row>
    <row r="83" spans="1:9" ht="15">
      <c r="A83" s="279"/>
      <c r="B83" s="279"/>
      <c r="C83" s="279"/>
      <c r="D83" s="279"/>
      <c r="E83" s="280"/>
      <c r="F83" s="280"/>
      <c r="G83" s="286"/>
      <c r="H83" s="230"/>
      <c r="I83" s="230"/>
    </row>
    <row r="84" spans="1:9" ht="15">
      <c r="A84" s="279"/>
      <c r="B84" s="279"/>
      <c r="C84" s="279"/>
      <c r="D84" s="279"/>
      <c r="E84" s="280"/>
      <c r="F84" s="280"/>
      <c r="G84" s="286"/>
      <c r="H84" s="230"/>
      <c r="I84" s="230"/>
    </row>
    <row r="85" spans="1:9" ht="15">
      <c r="A85" s="279"/>
      <c r="B85" s="279"/>
      <c r="C85" s="279"/>
      <c r="D85" s="279"/>
      <c r="E85" s="280"/>
      <c r="F85" s="280"/>
      <c r="G85" s="286"/>
      <c r="H85" s="230"/>
      <c r="I85" s="230"/>
    </row>
    <row r="86" spans="1:9" ht="15">
      <c r="A86" s="279"/>
      <c r="B86" s="279"/>
      <c r="C86" s="279"/>
      <c r="D86" s="279"/>
      <c r="E86" s="280"/>
      <c r="F86" s="280"/>
      <c r="G86" s="286"/>
      <c r="H86" s="230"/>
      <c r="I86" s="230"/>
    </row>
    <row r="87" spans="1:9" ht="15">
      <c r="A87" s="230"/>
      <c r="B87" s="230"/>
      <c r="C87" s="230"/>
      <c r="D87" s="230"/>
      <c r="E87" s="231"/>
      <c r="F87" s="227"/>
      <c r="G87" s="230"/>
      <c r="H87" s="230"/>
      <c r="I87" s="230"/>
    </row>
    <row r="88" spans="1:9" ht="15">
      <c r="A88" s="230"/>
      <c r="B88" s="230"/>
      <c r="C88" s="230"/>
      <c r="D88" s="230"/>
      <c r="E88" s="231"/>
      <c r="F88" s="227"/>
      <c r="G88" s="230"/>
      <c r="H88" s="230"/>
      <c r="I88" s="230"/>
    </row>
    <row r="89" spans="1:9" ht="15">
      <c r="A89" s="230"/>
      <c r="B89" s="230"/>
      <c r="C89" s="230"/>
      <c r="D89" s="230"/>
      <c r="E89" s="231"/>
      <c r="F89" s="227"/>
      <c r="G89" s="230"/>
      <c r="H89" s="230"/>
      <c r="I89" s="230"/>
    </row>
    <row r="90" spans="1:9" ht="15">
      <c r="A90" s="230"/>
      <c r="B90" s="230"/>
      <c r="C90" s="230"/>
      <c r="D90" s="230"/>
      <c r="E90" s="231"/>
      <c r="F90" s="227"/>
      <c r="G90" s="230"/>
      <c r="H90" s="230"/>
      <c r="I90" s="230"/>
    </row>
    <row r="91" spans="1:9" ht="15">
      <c r="A91" s="230"/>
      <c r="B91" s="230"/>
      <c r="C91" s="230"/>
      <c r="D91" s="230"/>
      <c r="E91" s="231"/>
      <c r="F91" s="227"/>
      <c r="G91" s="230"/>
      <c r="H91" s="230"/>
      <c r="I91" s="230"/>
    </row>
    <row r="92" spans="1:9" ht="15">
      <c r="A92" s="230"/>
      <c r="B92" s="230"/>
      <c r="C92" s="230"/>
      <c r="D92" s="230"/>
      <c r="E92" s="231"/>
      <c r="F92" s="227"/>
      <c r="G92" s="230"/>
      <c r="H92" s="230"/>
      <c r="I92" s="230"/>
    </row>
    <row r="93" spans="1:9" ht="15">
      <c r="A93" s="230"/>
      <c r="B93" s="230"/>
      <c r="C93" s="230"/>
      <c r="D93" s="230"/>
      <c r="E93" s="231"/>
      <c r="F93" s="227"/>
      <c r="G93" s="230"/>
      <c r="H93" s="230"/>
      <c r="I93" s="230"/>
    </row>
    <row r="94" spans="1:9" ht="15">
      <c r="A94" s="124"/>
      <c r="B94" s="124"/>
      <c r="C94" s="124"/>
      <c r="D94" s="124"/>
      <c r="E94" s="145"/>
      <c r="F94" s="122"/>
      <c r="G94" s="124"/>
      <c r="H94" s="124"/>
      <c r="I94" s="124"/>
    </row>
    <row r="95" spans="1:9" ht="15">
      <c r="A95" s="124"/>
      <c r="B95" s="124"/>
      <c r="C95" s="124"/>
      <c r="D95" s="124"/>
      <c r="E95" s="145"/>
      <c r="F95" s="122"/>
      <c r="G95" s="124"/>
      <c r="H95" s="124"/>
      <c r="I95" s="124"/>
    </row>
    <row r="96" spans="1:9" ht="15">
      <c r="A96" s="124"/>
      <c r="B96" s="124"/>
      <c r="C96" s="124"/>
      <c r="D96" s="124"/>
      <c r="E96" s="145"/>
      <c r="F96" s="122"/>
      <c r="G96" s="124"/>
      <c r="H96" s="124"/>
      <c r="I96" s="124"/>
    </row>
    <row r="97" spans="1:9" ht="15">
      <c r="A97" s="124"/>
      <c r="B97" s="124"/>
      <c r="C97" s="124"/>
      <c r="D97" s="124"/>
      <c r="E97" s="145"/>
      <c r="F97" s="122"/>
      <c r="G97" s="124"/>
      <c r="H97" s="124"/>
      <c r="I97" s="124"/>
    </row>
    <row r="98" spans="1:9" ht="15">
      <c r="A98" s="124"/>
      <c r="B98" s="124"/>
      <c r="C98" s="124"/>
      <c r="D98" s="124"/>
      <c r="E98" s="145"/>
      <c r="F98" s="122"/>
      <c r="G98" s="124"/>
      <c r="H98" s="124"/>
      <c r="I98" s="124"/>
    </row>
    <row r="99" spans="1:9" ht="15">
      <c r="A99" s="124"/>
      <c r="B99" s="124"/>
      <c r="C99" s="124"/>
      <c r="D99" s="124"/>
      <c r="E99" s="145"/>
      <c r="F99" s="122"/>
      <c r="G99" s="124"/>
      <c r="H99" s="124"/>
      <c r="I99" s="124"/>
    </row>
    <row r="100" spans="1:9" ht="15">
      <c r="A100" s="124"/>
      <c r="B100" s="124"/>
      <c r="C100" s="124"/>
      <c r="D100" s="124"/>
      <c r="E100" s="145"/>
      <c r="F100" s="122"/>
      <c r="G100" s="124"/>
      <c r="H100" s="124"/>
      <c r="I100" s="124"/>
    </row>
    <row r="101" spans="1:9" ht="15">
      <c r="A101" s="124"/>
      <c r="B101" s="124"/>
      <c r="C101" s="124"/>
      <c r="D101" s="124"/>
      <c r="E101" s="145"/>
      <c r="F101" s="122"/>
      <c r="G101" s="124"/>
      <c r="H101" s="124"/>
      <c r="I101" s="124"/>
    </row>
  </sheetData>
  <sheetProtection/>
  <printOptions horizontalCentered="1"/>
  <pageMargins left="0" right="0.75" top="1" bottom="0" header="0.5" footer="0.5"/>
  <pageSetup blackAndWhite="1"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="80" zoomScaleNormal="80" zoomScalePageLayoutView="0" workbookViewId="0" topLeftCell="A1">
      <selection activeCell="C19" sqref="C19"/>
    </sheetView>
  </sheetViews>
  <sheetFormatPr defaultColWidth="9.140625" defaultRowHeight="12.75"/>
  <cols>
    <col min="1" max="1" width="37.7109375" style="0" customWidth="1"/>
    <col min="2" max="2" width="16.140625" style="0" customWidth="1"/>
    <col min="3" max="3" width="13.57421875" style="0" customWidth="1"/>
    <col min="4" max="4" width="16.140625" style="0" customWidth="1"/>
    <col min="5" max="5" width="15.7109375" style="0" customWidth="1"/>
    <col min="6" max="6" width="14.8515625" style="0" customWidth="1"/>
    <col min="7" max="7" width="14.00390625" style="0" customWidth="1"/>
    <col min="8" max="8" width="12.140625" style="0" customWidth="1"/>
    <col min="9" max="9" width="16.57421875" style="0" customWidth="1"/>
    <col min="10" max="10" width="17.421875" style="0" customWidth="1"/>
    <col min="11" max="11" width="12.00390625" style="0" customWidth="1"/>
  </cols>
  <sheetData>
    <row r="1" spans="1:11" ht="23.25">
      <c r="A1" s="1" t="s">
        <v>43</v>
      </c>
      <c r="B1" s="1"/>
      <c r="C1" s="35"/>
      <c r="D1" s="35"/>
      <c r="E1" s="35"/>
      <c r="F1" s="35"/>
      <c r="G1" s="35"/>
      <c r="H1" s="35"/>
      <c r="I1" s="35"/>
      <c r="J1" s="35"/>
      <c r="K1" s="35"/>
    </row>
    <row r="2" spans="1:11" ht="18">
      <c r="A2" s="2" t="s">
        <v>44</v>
      </c>
      <c r="B2" s="2"/>
      <c r="C2" s="35"/>
      <c r="D2" s="35"/>
      <c r="E2" s="35"/>
      <c r="F2" s="35"/>
      <c r="G2" s="35"/>
      <c r="H2" s="35"/>
      <c r="I2" s="35"/>
      <c r="J2" s="35"/>
      <c r="K2" s="35"/>
    </row>
    <row r="3" spans="1:11" ht="18.75" thickBot="1">
      <c r="A3" s="2" t="s">
        <v>45</v>
      </c>
      <c r="B3" s="2"/>
      <c r="C3" s="35"/>
      <c r="D3" s="35"/>
      <c r="E3" s="35"/>
      <c r="F3" s="35"/>
      <c r="G3" s="35"/>
      <c r="H3" s="35"/>
      <c r="I3" s="35"/>
      <c r="J3" s="35"/>
      <c r="K3" s="35"/>
    </row>
    <row r="4" spans="1:11" ht="18.75" thickBot="1">
      <c r="A4" s="2"/>
      <c r="B4" s="6" t="s">
        <v>158</v>
      </c>
      <c r="C4" s="6" t="s">
        <v>159</v>
      </c>
      <c r="D4" s="35"/>
      <c r="E4" s="35"/>
      <c r="F4" s="35"/>
      <c r="G4" s="35"/>
      <c r="H4" s="35"/>
      <c r="I4" s="35"/>
      <c r="J4" s="35"/>
      <c r="K4" s="35"/>
    </row>
    <row r="5" spans="1:11" ht="15.75" thickBot="1">
      <c r="A5" s="6" t="s">
        <v>160</v>
      </c>
      <c r="B5" s="184">
        <f>Class_1_Skim_Rate</f>
        <v>0</v>
      </c>
      <c r="C5" s="185">
        <f>Class_2_Skim_Rate</f>
        <v>0</v>
      </c>
      <c r="D5" s="115"/>
      <c r="E5" s="115"/>
      <c r="F5" s="115"/>
      <c r="G5" s="4"/>
      <c r="H5" s="4"/>
      <c r="I5" s="4"/>
      <c r="J5" s="8"/>
      <c r="K5" s="4"/>
    </row>
    <row r="6" spans="1:11" ht="15.75" thickBot="1">
      <c r="A6" s="6" t="s">
        <v>161</v>
      </c>
      <c r="B6" s="186">
        <f>Class_1_BF_Rate</f>
        <v>0</v>
      </c>
      <c r="C6" s="187">
        <f>Class_2_BF_Rate</f>
        <v>0</v>
      </c>
      <c r="D6" s="7"/>
      <c r="E6" s="7"/>
      <c r="F6" s="7"/>
      <c r="G6" s="4"/>
      <c r="H6" s="4"/>
      <c r="I6" s="4"/>
      <c r="J6" s="8"/>
      <c r="K6" s="4"/>
    </row>
    <row r="7" spans="1:11" ht="15.75" thickBot="1">
      <c r="A7" s="4"/>
      <c r="B7" s="4"/>
      <c r="C7" s="11"/>
      <c r="D7" s="11"/>
      <c r="E7" s="11"/>
      <c r="F7" s="11"/>
      <c r="G7" s="4"/>
      <c r="H7" s="4"/>
      <c r="I7" s="4"/>
      <c r="J7" s="9"/>
      <c r="K7" s="4"/>
    </row>
    <row r="8" spans="1:11" ht="15">
      <c r="A8" s="4"/>
      <c r="B8" s="3" t="s">
        <v>155</v>
      </c>
      <c r="C8" s="3" t="s">
        <v>46</v>
      </c>
      <c r="D8" s="3" t="s">
        <v>21</v>
      </c>
      <c r="E8" s="3" t="s">
        <v>46</v>
      </c>
      <c r="F8" s="3" t="s">
        <v>21</v>
      </c>
      <c r="G8" s="3" t="s">
        <v>65</v>
      </c>
      <c r="H8" s="3" t="s">
        <v>47</v>
      </c>
      <c r="I8" s="3" t="s">
        <v>48</v>
      </c>
      <c r="J8" s="3" t="s">
        <v>49</v>
      </c>
      <c r="K8" s="3" t="s">
        <v>47</v>
      </c>
    </row>
    <row r="9" spans="1:11" ht="15.75" thickBot="1">
      <c r="A9" s="4"/>
      <c r="B9" s="5" t="s">
        <v>156</v>
      </c>
      <c r="C9" s="5" t="s">
        <v>157</v>
      </c>
      <c r="D9" s="5" t="s">
        <v>157</v>
      </c>
      <c r="E9" s="5" t="s">
        <v>162</v>
      </c>
      <c r="F9" s="5" t="s">
        <v>162</v>
      </c>
      <c r="G9" s="5" t="s">
        <v>162</v>
      </c>
      <c r="H9" s="5" t="s">
        <v>50</v>
      </c>
      <c r="I9" s="5" t="s">
        <v>51</v>
      </c>
      <c r="J9" s="5" t="s">
        <v>52</v>
      </c>
      <c r="K9" s="5" t="s">
        <v>50</v>
      </c>
    </row>
    <row r="10" spans="1:11" ht="15.75" thickBot="1">
      <c r="A10" s="6" t="s">
        <v>18</v>
      </c>
      <c r="B10" s="215">
        <v>21149968</v>
      </c>
      <c r="C10" s="216">
        <v>680204</v>
      </c>
      <c r="D10" s="172">
        <f>B10-C10</f>
        <v>20469764</v>
      </c>
      <c r="E10" s="172">
        <f>ROUND(C10*$B$6,0)</f>
        <v>0</v>
      </c>
      <c r="F10" s="172">
        <f>ROUND(D10*$B$5/100,0)</f>
        <v>0</v>
      </c>
      <c r="G10" s="173">
        <f>F10+E10</f>
        <v>0</v>
      </c>
      <c r="H10" s="116">
        <f>ROUND(G10/B10,4)</f>
        <v>0</v>
      </c>
      <c r="I10" s="116">
        <f>INPUT!B63</f>
        <v>0.005</v>
      </c>
      <c r="J10" s="116">
        <f>+INPUT!B37</f>
        <v>0</v>
      </c>
      <c r="K10" s="174">
        <f aca="true" t="shared" si="0" ref="K10:K23">ROUND(SUM(H10:J10),4)</f>
        <v>0.005</v>
      </c>
    </row>
    <row r="11" spans="1:11" ht="15.75" thickBot="1">
      <c r="A11" s="6" t="s">
        <v>53</v>
      </c>
      <c r="B11" s="217">
        <v>35097907</v>
      </c>
      <c r="C11" s="218">
        <v>665162</v>
      </c>
      <c r="D11" s="175">
        <f aca="true" t="shared" si="1" ref="D11:D23">B11-C11</f>
        <v>34432745</v>
      </c>
      <c r="E11" s="175">
        <f aca="true" t="shared" si="2" ref="E11:E18">ROUND(C11*$B$6,0)</f>
        <v>0</v>
      </c>
      <c r="F11" s="175">
        <f aca="true" t="shared" si="3" ref="F11:F18">ROUND(D11*$B$5/100,0)</f>
        <v>0</v>
      </c>
      <c r="G11" s="176">
        <f aca="true" t="shared" si="4" ref="G11:G19">F11+E11</f>
        <v>0</v>
      </c>
      <c r="H11" s="10">
        <f aca="true" t="shared" si="5" ref="H11:H19">ROUND(G11/B11,4)</f>
        <v>0</v>
      </c>
      <c r="I11" s="10">
        <f>INPUT!B64</f>
        <v>0.005</v>
      </c>
      <c r="J11" s="10">
        <f>+INPUT!B38</f>
        <v>0.0001</v>
      </c>
      <c r="K11" s="177">
        <f t="shared" si="0"/>
        <v>0.0051</v>
      </c>
    </row>
    <row r="12" spans="1:11" ht="15.75" thickBot="1">
      <c r="A12" s="6" t="s">
        <v>54</v>
      </c>
      <c r="B12" s="217">
        <v>14342228</v>
      </c>
      <c r="C12" s="218">
        <v>128353</v>
      </c>
      <c r="D12" s="175">
        <f t="shared" si="1"/>
        <v>14213875</v>
      </c>
      <c r="E12" s="175">
        <f t="shared" si="2"/>
        <v>0</v>
      </c>
      <c r="F12" s="175">
        <f t="shared" si="3"/>
        <v>0</v>
      </c>
      <c r="G12" s="176">
        <f t="shared" si="4"/>
        <v>0</v>
      </c>
      <c r="H12" s="10">
        <f t="shared" si="5"/>
        <v>0</v>
      </c>
      <c r="I12" s="10">
        <f>INPUT!B65</f>
        <v>0.005</v>
      </c>
      <c r="J12" s="10">
        <f>+INPUT!B39</f>
        <v>0.0001</v>
      </c>
      <c r="K12" s="177">
        <f t="shared" si="0"/>
        <v>0.0051</v>
      </c>
    </row>
    <row r="13" spans="1:11" ht="15.75" thickBot="1">
      <c r="A13" s="6" t="s">
        <v>55</v>
      </c>
      <c r="B13" s="217">
        <v>16413092</v>
      </c>
      <c r="C13" s="218">
        <v>22432</v>
      </c>
      <c r="D13" s="175">
        <f t="shared" si="1"/>
        <v>16390660</v>
      </c>
      <c r="E13" s="175">
        <f t="shared" si="2"/>
        <v>0</v>
      </c>
      <c r="F13" s="175">
        <f t="shared" si="3"/>
        <v>0</v>
      </c>
      <c r="G13" s="176">
        <f t="shared" si="4"/>
        <v>0</v>
      </c>
      <c r="H13" s="10">
        <f t="shared" si="5"/>
        <v>0</v>
      </c>
      <c r="I13" s="10">
        <f>INPUT!B66</f>
        <v>0.005</v>
      </c>
      <c r="J13" s="10">
        <f>+INPUT!B40</f>
        <v>0.0016</v>
      </c>
      <c r="K13" s="177">
        <f t="shared" si="0"/>
        <v>0.0066</v>
      </c>
    </row>
    <row r="14" spans="1:11" ht="15.75" thickBot="1">
      <c r="A14" s="6" t="s">
        <v>22</v>
      </c>
      <c r="B14" s="217">
        <v>8885409</v>
      </c>
      <c r="C14" s="218">
        <v>285529</v>
      </c>
      <c r="D14" s="175">
        <f t="shared" si="1"/>
        <v>8599880</v>
      </c>
      <c r="E14" s="175">
        <f t="shared" si="2"/>
        <v>0</v>
      </c>
      <c r="F14" s="175">
        <f t="shared" si="3"/>
        <v>0</v>
      </c>
      <c r="G14" s="176">
        <f t="shared" si="4"/>
        <v>0</v>
      </c>
      <c r="H14" s="10">
        <f t="shared" si="5"/>
        <v>0</v>
      </c>
      <c r="I14" s="10">
        <f>INPUT!B67</f>
        <v>0.005</v>
      </c>
      <c r="J14" s="10">
        <f>INPUT!B41</f>
        <v>0</v>
      </c>
      <c r="K14" s="177">
        <f t="shared" si="0"/>
        <v>0.005</v>
      </c>
    </row>
    <row r="15" spans="1:11" ht="15.75" thickBot="1">
      <c r="A15" s="6" t="s">
        <v>56</v>
      </c>
      <c r="B15" s="217">
        <v>3750494</v>
      </c>
      <c r="C15" s="218">
        <v>37566</v>
      </c>
      <c r="D15" s="175">
        <f t="shared" si="1"/>
        <v>3712928</v>
      </c>
      <c r="E15" s="175">
        <f t="shared" si="2"/>
        <v>0</v>
      </c>
      <c r="F15" s="175">
        <f t="shared" si="3"/>
        <v>0</v>
      </c>
      <c r="G15" s="176">
        <f t="shared" si="4"/>
        <v>0</v>
      </c>
      <c r="H15" s="10">
        <f t="shared" si="5"/>
        <v>0</v>
      </c>
      <c r="I15" s="10">
        <f>INPUT!B68</f>
        <v>0.005</v>
      </c>
      <c r="J15" s="10">
        <f>INPUT!B42</f>
        <v>0</v>
      </c>
      <c r="K15" s="177">
        <f t="shared" si="0"/>
        <v>0.005</v>
      </c>
    </row>
    <row r="16" spans="1:11" ht="15.75" thickBot="1">
      <c r="A16" s="6" t="s">
        <v>196</v>
      </c>
      <c r="B16" s="217">
        <v>8068853</v>
      </c>
      <c r="C16" s="218">
        <v>14457</v>
      </c>
      <c r="D16" s="175">
        <f t="shared" si="1"/>
        <v>8054396</v>
      </c>
      <c r="E16" s="175">
        <f t="shared" si="2"/>
        <v>0</v>
      </c>
      <c r="F16" s="175">
        <f t="shared" si="3"/>
        <v>0</v>
      </c>
      <c r="G16" s="176">
        <f t="shared" si="4"/>
        <v>0</v>
      </c>
      <c r="H16" s="10">
        <f t="shared" si="5"/>
        <v>0</v>
      </c>
      <c r="I16" s="10">
        <f>INPUT!B69</f>
        <v>0.005</v>
      </c>
      <c r="J16" s="10">
        <f>INPUT!B43</f>
        <v>0</v>
      </c>
      <c r="K16" s="177">
        <f t="shared" si="0"/>
        <v>0.005</v>
      </c>
    </row>
    <row r="17" spans="1:11" ht="15.75" thickBot="1">
      <c r="A17" s="6" t="s">
        <v>24</v>
      </c>
      <c r="B17" s="217">
        <v>531583</v>
      </c>
      <c r="C17" s="218">
        <v>6641</v>
      </c>
      <c r="D17" s="175">
        <f t="shared" si="1"/>
        <v>524942</v>
      </c>
      <c r="E17" s="175">
        <f t="shared" si="2"/>
        <v>0</v>
      </c>
      <c r="F17" s="175">
        <f t="shared" si="3"/>
        <v>0</v>
      </c>
      <c r="G17" s="176">
        <f t="shared" si="4"/>
        <v>0</v>
      </c>
      <c r="H17" s="10">
        <f t="shared" si="5"/>
        <v>0</v>
      </c>
      <c r="I17" s="10">
        <f>INPUT!B69</f>
        <v>0.005</v>
      </c>
      <c r="J17" s="10">
        <f>INPUT!B44</f>
        <v>0.0409</v>
      </c>
      <c r="K17" s="177">
        <f t="shared" si="0"/>
        <v>0.0459</v>
      </c>
    </row>
    <row r="18" spans="1:11" ht="15.75" thickBot="1">
      <c r="A18" s="6" t="s">
        <v>169</v>
      </c>
      <c r="B18" s="217">
        <v>242939</v>
      </c>
      <c r="C18" s="218">
        <v>14765</v>
      </c>
      <c r="D18" s="175">
        <f t="shared" si="1"/>
        <v>228174</v>
      </c>
      <c r="E18" s="175">
        <f t="shared" si="2"/>
        <v>0</v>
      </c>
      <c r="F18" s="175">
        <f t="shared" si="3"/>
        <v>0</v>
      </c>
      <c r="G18" s="176">
        <f t="shared" si="4"/>
        <v>0</v>
      </c>
      <c r="H18" s="10">
        <f t="shared" si="5"/>
        <v>0</v>
      </c>
      <c r="I18" s="10">
        <f>INPUT!B70</f>
        <v>0.005</v>
      </c>
      <c r="J18" s="10">
        <f>INPUT!B45</f>
        <v>0.1654</v>
      </c>
      <c r="K18" s="177">
        <f>ROUND(SUM(H18:J18),4)</f>
        <v>0.1704</v>
      </c>
    </row>
    <row r="19" spans="1:11" ht="15.75" thickBot="1">
      <c r="A19" s="6" t="s">
        <v>57</v>
      </c>
      <c r="B19" s="217">
        <v>244443</v>
      </c>
      <c r="C19" s="218">
        <v>25735</v>
      </c>
      <c r="D19" s="175">
        <f t="shared" si="1"/>
        <v>218708</v>
      </c>
      <c r="E19" s="175">
        <f>ROUND(C19*$C$6,0)</f>
        <v>0</v>
      </c>
      <c r="F19" s="175">
        <f>ROUND(D19*$C$5/100,0)</f>
        <v>0</v>
      </c>
      <c r="G19" s="176">
        <f t="shared" si="4"/>
        <v>0</v>
      </c>
      <c r="H19" s="10">
        <f t="shared" si="5"/>
        <v>0</v>
      </c>
      <c r="I19" s="10"/>
      <c r="J19" s="10"/>
      <c r="K19" s="178">
        <f t="shared" si="0"/>
        <v>0</v>
      </c>
    </row>
    <row r="20" spans="1:11" ht="15.75" thickBot="1">
      <c r="A20" s="6" t="s">
        <v>77</v>
      </c>
      <c r="B20" s="217">
        <v>2664</v>
      </c>
      <c r="C20" s="218">
        <v>480</v>
      </c>
      <c r="D20" s="175">
        <f t="shared" si="1"/>
        <v>2184</v>
      </c>
      <c r="E20" s="175">
        <f>ROUND(C20*$C$6,0)</f>
        <v>0</v>
      </c>
      <c r="F20" s="175">
        <f>ROUND(D20*$C$5/100,0)</f>
        <v>0</v>
      </c>
      <c r="G20" s="176">
        <f>F20+E20</f>
        <v>0</v>
      </c>
      <c r="H20" s="10">
        <f>ROUND(G20/B20,4)</f>
        <v>0</v>
      </c>
      <c r="I20" s="179"/>
      <c r="J20" s="10"/>
      <c r="K20" s="178">
        <f t="shared" si="0"/>
        <v>0</v>
      </c>
    </row>
    <row r="21" spans="1:11" ht="15.75" thickBot="1">
      <c r="A21" s="6" t="s">
        <v>76</v>
      </c>
      <c r="B21" s="217">
        <v>85948</v>
      </c>
      <c r="C21" s="218">
        <v>15886</v>
      </c>
      <c r="D21" s="175">
        <f t="shared" si="1"/>
        <v>70062</v>
      </c>
      <c r="E21" s="175">
        <f>ROUND(C21*$C$6,0)</f>
        <v>0</v>
      </c>
      <c r="F21" s="175">
        <f>ROUND(D21*$C$5/100,0)</f>
        <v>0</v>
      </c>
      <c r="G21" s="176">
        <f>F21+E21</f>
        <v>0</v>
      </c>
      <c r="H21" s="10">
        <f>ROUND(G21/B21,4)</f>
        <v>0</v>
      </c>
      <c r="I21" s="179"/>
      <c r="J21" s="10"/>
      <c r="K21" s="178">
        <f t="shared" si="0"/>
        <v>0</v>
      </c>
    </row>
    <row r="22" spans="1:11" ht="15.75" thickBot="1">
      <c r="A22" s="6" t="s">
        <v>58</v>
      </c>
      <c r="B22" s="217">
        <v>100000</v>
      </c>
      <c r="C22" s="218">
        <v>30000</v>
      </c>
      <c r="D22" s="175">
        <f t="shared" si="1"/>
        <v>70000</v>
      </c>
      <c r="E22" s="175">
        <f>ROUND(C22*$C$6,0)</f>
        <v>0</v>
      </c>
      <c r="F22" s="175">
        <f>ROUND(D22*$C$5/100,0)</f>
        <v>0</v>
      </c>
      <c r="G22" s="176">
        <f>F22+E22</f>
        <v>0</v>
      </c>
      <c r="H22" s="10">
        <f>ROUND(G22/B22,4)</f>
        <v>0</v>
      </c>
      <c r="I22" s="10"/>
      <c r="J22" s="10"/>
      <c r="K22" s="178">
        <f t="shared" si="0"/>
        <v>0</v>
      </c>
    </row>
    <row r="23" spans="1:11" ht="15.75" thickBot="1">
      <c r="A23" s="6" t="s">
        <v>59</v>
      </c>
      <c r="B23" s="219">
        <v>54632</v>
      </c>
      <c r="C23" s="220">
        <v>22413</v>
      </c>
      <c r="D23" s="180">
        <f t="shared" si="1"/>
        <v>32219</v>
      </c>
      <c r="E23" s="180">
        <f>ROUND(C23*$C$6,0)</f>
        <v>0</v>
      </c>
      <c r="F23" s="180">
        <f>ROUND(D23*$C$5/100,0)</f>
        <v>0</v>
      </c>
      <c r="G23" s="181">
        <f>F23+E23</f>
        <v>0</v>
      </c>
      <c r="H23" s="182">
        <f>ROUND(G23/B23,4)</f>
        <v>0</v>
      </c>
      <c r="I23" s="182"/>
      <c r="J23" s="182"/>
      <c r="K23" s="183">
        <f t="shared" si="0"/>
        <v>0</v>
      </c>
    </row>
    <row r="24" spans="3:6" ht="14.25">
      <c r="C24" s="34"/>
      <c r="D24" s="34"/>
      <c r="E24" s="34"/>
      <c r="F24" s="34"/>
    </row>
    <row r="29" spans="3:4" ht="12.75">
      <c r="C29" s="127">
        <f aca="true" t="shared" si="6" ref="C29:C34">C10/B10</f>
        <v>0.032160994286137924</v>
      </c>
      <c r="D29" s="237">
        <v>0.032205796263993995</v>
      </c>
    </row>
    <row r="30" spans="3:4" ht="12.75">
      <c r="C30" s="127">
        <f t="shared" si="6"/>
        <v>0.018951614408232377</v>
      </c>
      <c r="D30" s="237">
        <v>0.019143464718013543</v>
      </c>
    </row>
    <row r="31" spans="3:4" ht="12.75">
      <c r="C31" s="127">
        <f t="shared" si="6"/>
        <v>0.008949306899876365</v>
      </c>
      <c r="D31" s="237">
        <v>0.009257490876226232</v>
      </c>
    </row>
    <row r="32" spans="3:4" ht="12.75">
      <c r="C32" s="127">
        <f t="shared" si="6"/>
        <v>0.001366713840390342</v>
      </c>
      <c r="D32" s="237">
        <v>0.0008367951692135849</v>
      </c>
    </row>
    <row r="33" spans="3:4" ht="12.75">
      <c r="C33" s="127">
        <f t="shared" si="6"/>
        <v>0.03213459279139542</v>
      </c>
      <c r="D33" s="237">
        <v>0.032611236955706474</v>
      </c>
    </row>
    <row r="34" spans="3:4" ht="12.75">
      <c r="C34" s="127">
        <f t="shared" si="6"/>
        <v>0.010016280521979238</v>
      </c>
      <c r="D34" s="237">
        <v>0.009910212010211224</v>
      </c>
    </row>
    <row r="35" spans="3:4" ht="12.75">
      <c r="C35" s="127">
        <f aca="true" t="shared" si="7" ref="C35:C41">C17/B17</f>
        <v>0.012492875054318894</v>
      </c>
      <c r="D35" s="237">
        <v>0.0203361557757069</v>
      </c>
    </row>
    <row r="36" spans="3:4" ht="12.75">
      <c r="C36" s="127">
        <f t="shared" si="7"/>
        <v>0.06077657354315281</v>
      </c>
      <c r="D36" s="237">
        <v>0.06173725771715721</v>
      </c>
    </row>
    <row r="37" spans="3:4" ht="12.75">
      <c r="C37" s="127">
        <f t="shared" si="7"/>
        <v>0.10528016756462652</v>
      </c>
      <c r="D37" s="237">
        <v>0.105</v>
      </c>
    </row>
    <row r="38" spans="3:4" ht="12.75">
      <c r="C38" s="127">
        <f t="shared" si="7"/>
        <v>0.18018018018018017</v>
      </c>
      <c r="D38" s="237">
        <v>0.18</v>
      </c>
    </row>
    <row r="39" spans="3:4" ht="12.75">
      <c r="C39" s="127">
        <f t="shared" si="7"/>
        <v>0.1848326895332061</v>
      </c>
      <c r="D39" s="237">
        <v>0.18</v>
      </c>
    </row>
    <row r="40" spans="3:4" ht="12.75">
      <c r="C40" s="127">
        <f t="shared" si="7"/>
        <v>0.3</v>
      </c>
      <c r="D40" s="237">
        <v>0.3</v>
      </c>
    </row>
    <row r="41" spans="3:4" ht="12.75">
      <c r="C41" s="127">
        <f t="shared" si="7"/>
        <v>0.4102540635524967</v>
      </c>
      <c r="D41" s="237">
        <v>0.36</v>
      </c>
    </row>
    <row r="42" ht="12.75">
      <c r="C42" s="127"/>
    </row>
    <row r="43" ht="12.75">
      <c r="C43" s="127"/>
    </row>
  </sheetData>
  <sheetProtection/>
  <printOptions/>
  <pageMargins left="0.75" right="0.75" top="1" bottom="1" header="0.5" footer="0.5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92">
      <selection activeCell="C105" sqref="C105"/>
    </sheetView>
  </sheetViews>
  <sheetFormatPr defaultColWidth="9.140625" defaultRowHeight="12.75"/>
  <cols>
    <col min="1" max="1" width="31.00390625" style="0" customWidth="1"/>
    <col min="2" max="2" width="13.140625" style="0" customWidth="1"/>
    <col min="3" max="3" width="10.57421875" style="0" customWidth="1"/>
    <col min="4" max="5" width="11.7109375" style="0" customWidth="1"/>
    <col min="6" max="6" width="13.28125" style="0" customWidth="1"/>
    <col min="7" max="7" width="9.28125" style="0" customWidth="1"/>
  </cols>
  <sheetData>
    <row r="1" spans="1:7" ht="12.75">
      <c r="A1" s="12" t="s">
        <v>43</v>
      </c>
      <c r="B1" s="12"/>
      <c r="C1" s="12"/>
      <c r="D1" s="12"/>
      <c r="E1" s="12"/>
      <c r="F1" s="12"/>
      <c r="G1" s="12"/>
    </row>
    <row r="2" spans="1:7" ht="12.75">
      <c r="A2" s="12" t="s">
        <v>60</v>
      </c>
      <c r="B2" s="12"/>
      <c r="C2" s="12"/>
      <c r="D2" s="12"/>
      <c r="E2" s="12"/>
      <c r="F2" s="12"/>
      <c r="G2" s="12"/>
    </row>
    <row r="3" spans="1:7" ht="13.5" thickBot="1">
      <c r="A3" s="12"/>
      <c r="B3" s="12"/>
      <c r="C3" s="12"/>
      <c r="D3" s="12"/>
      <c r="E3" s="12"/>
      <c r="F3" s="12"/>
      <c r="G3" s="12"/>
    </row>
    <row r="4" spans="2:7" ht="13.5" thickTop="1">
      <c r="B4" s="13" t="s">
        <v>61</v>
      </c>
      <c r="C4" s="13" t="s">
        <v>62</v>
      </c>
      <c r="D4" s="13" t="s">
        <v>63</v>
      </c>
      <c r="E4" s="13" t="s">
        <v>186</v>
      </c>
      <c r="F4" s="13" t="s">
        <v>64</v>
      </c>
      <c r="G4" s="13" t="s">
        <v>65</v>
      </c>
    </row>
    <row r="5" spans="2:7" ht="13.5" thickBot="1">
      <c r="B5" s="14" t="s">
        <v>66</v>
      </c>
      <c r="C5" s="14" t="s">
        <v>52</v>
      </c>
      <c r="D5" s="14" t="s">
        <v>52</v>
      </c>
      <c r="E5" s="14" t="s">
        <v>52</v>
      </c>
      <c r="F5" s="14" t="s">
        <v>52</v>
      </c>
      <c r="G5" s="14" t="s">
        <v>52</v>
      </c>
    </row>
    <row r="6" spans="2:7" ht="14.25" thickBot="1" thickTop="1">
      <c r="B6" s="117"/>
      <c r="C6" s="105"/>
      <c r="D6" s="105"/>
      <c r="E6" s="105"/>
      <c r="F6" s="105"/>
      <c r="G6" s="105"/>
    </row>
    <row r="7" spans="1:7" ht="14.25" thickBot="1" thickTop="1">
      <c r="A7" s="15" t="s">
        <v>18</v>
      </c>
      <c r="B7" s="21"/>
      <c r="C7" s="22"/>
      <c r="D7" s="22"/>
      <c r="E7" s="22"/>
      <c r="F7" s="22"/>
      <c r="G7" s="22"/>
    </row>
    <row r="8" spans="1:7" ht="13.5" thickTop="1">
      <c r="A8" s="20" t="s">
        <v>10</v>
      </c>
      <c r="B8" s="24">
        <v>8.6</v>
      </c>
      <c r="C8" s="19">
        <f>ROUND(B8*RAW!$K$10,4)</f>
        <v>0.043</v>
      </c>
      <c r="D8" s="23">
        <f>INPUT!$B$13</f>
        <v>0</v>
      </c>
      <c r="E8" s="23">
        <f>E10*4</f>
        <v>0</v>
      </c>
      <c r="F8" s="19">
        <f>+F10*4</f>
        <v>1.1708</v>
      </c>
      <c r="G8" s="23">
        <f>ROUND(SUM(C8:F8),4)</f>
        <v>1.2138</v>
      </c>
    </row>
    <row r="9" spans="1:7" ht="12.75">
      <c r="A9" s="20" t="s">
        <v>67</v>
      </c>
      <c r="B9" s="24">
        <v>4.3</v>
      </c>
      <c r="C9" s="19">
        <f>ROUND(B9*RAW!$K$10,4)</f>
        <v>0.0215</v>
      </c>
      <c r="D9" s="23">
        <f>INPUT!$B$14</f>
        <v>0</v>
      </c>
      <c r="E9" s="23">
        <f>E10*2</f>
        <v>0</v>
      </c>
      <c r="F9" s="19">
        <f>+F10*2</f>
        <v>0.5854</v>
      </c>
      <c r="G9" s="23">
        <f aca="true" t="shared" si="0" ref="G9:G16">ROUND(SUM(C9:F9),4)</f>
        <v>0.6069</v>
      </c>
    </row>
    <row r="10" spans="1:7" ht="12.75">
      <c r="A10" s="20" t="s">
        <v>12</v>
      </c>
      <c r="B10" s="24">
        <v>2.15</v>
      </c>
      <c r="C10" s="19">
        <f>ROUND(B10*RAW!$K$10,4)</f>
        <v>0.0108</v>
      </c>
      <c r="D10" s="23">
        <f>INPUT!$B$15</f>
        <v>0</v>
      </c>
      <c r="E10" s="23">
        <f>INPUT!B$34</f>
        <v>0</v>
      </c>
      <c r="F10" s="19">
        <f>INPUT!$B$29</f>
        <v>0.2927</v>
      </c>
      <c r="G10" s="23">
        <f t="shared" si="0"/>
        <v>0.3035</v>
      </c>
    </row>
    <row r="11" spans="1:7" ht="12.75">
      <c r="A11" s="20" t="s">
        <v>13</v>
      </c>
      <c r="B11" s="24">
        <v>1.075</v>
      </c>
      <c r="C11" s="19">
        <f>ROUND(B11*RAW!$K$10,4)</f>
        <v>0.0054</v>
      </c>
      <c r="D11" s="23">
        <f>INPUT!$B$16</f>
        <v>0</v>
      </c>
      <c r="E11" s="23">
        <f>ROUND(E10/2,4)</f>
        <v>0</v>
      </c>
      <c r="F11" s="19">
        <f>ROUND($F$10/2,4)</f>
        <v>0.1464</v>
      </c>
      <c r="G11" s="23">
        <f t="shared" si="0"/>
        <v>0.1518</v>
      </c>
    </row>
    <row r="12" spans="1:7" ht="12.75">
      <c r="A12" s="16" t="s">
        <v>189</v>
      </c>
      <c r="B12" s="24">
        <f>ROUND(B13/10*12,4)</f>
        <v>0.8063</v>
      </c>
      <c r="C12" s="19">
        <f>ROUND(B12*RAW!$K$10,4)</f>
        <v>0.004</v>
      </c>
      <c r="D12" s="23">
        <f>INPUT!$B$17</f>
        <v>0.0367</v>
      </c>
      <c r="E12" s="23">
        <f>ROUND(E10/32*12,4)</f>
        <v>0</v>
      </c>
      <c r="F12" s="19">
        <f>ROUND($F$10/32*12,4)</f>
        <v>0.1098</v>
      </c>
      <c r="G12" s="23">
        <f t="shared" si="0"/>
        <v>0.1505</v>
      </c>
    </row>
    <row r="13" spans="1:7" ht="12.75">
      <c r="A13" s="20" t="s">
        <v>68</v>
      </c>
      <c r="B13" s="24">
        <v>0.671875</v>
      </c>
      <c r="C13" s="19">
        <f>ROUND(B13*RAW!$K$10,4)</f>
        <v>0.0034</v>
      </c>
      <c r="D13" s="23">
        <f>INPUT!$B$18</f>
        <v>0.0544</v>
      </c>
      <c r="E13" s="23">
        <f>ROUND(E10/32*10,4)</f>
        <v>0</v>
      </c>
      <c r="F13" s="19">
        <f>ROUND($F$10/32*10,4)</f>
        <v>0.0915</v>
      </c>
      <c r="G13" s="23">
        <f t="shared" si="0"/>
        <v>0.1493</v>
      </c>
    </row>
    <row r="14" spans="1:7" ht="12.75">
      <c r="A14" s="20" t="s">
        <v>69</v>
      </c>
      <c r="B14" s="24">
        <v>0.5375</v>
      </c>
      <c r="C14" s="19">
        <f>ROUND(B14*RAW!$K$10,4)</f>
        <v>0.0027</v>
      </c>
      <c r="D14" s="23">
        <f>INPUT!$B$19</f>
        <v>0</v>
      </c>
      <c r="E14" s="23">
        <f>ROUND(E10/4,4)</f>
        <v>0</v>
      </c>
      <c r="F14" s="19">
        <f>ROUND($F$10/4,4)</f>
        <v>0.0732</v>
      </c>
      <c r="G14" s="23">
        <f t="shared" si="0"/>
        <v>0.0759</v>
      </c>
    </row>
    <row r="15" spans="1:7" ht="12.75">
      <c r="A15" s="20" t="s">
        <v>70</v>
      </c>
      <c r="B15" s="24">
        <v>0.26875</v>
      </c>
      <c r="C15" s="19">
        <f>ROUND(B15*RAW!$K$10,4)</f>
        <v>0.0013</v>
      </c>
      <c r="D15" s="23">
        <f>INPUT!$B$21</f>
        <v>0.028</v>
      </c>
      <c r="E15" s="23">
        <f>ROUND(E10/32*4,4)</f>
        <v>0</v>
      </c>
      <c r="F15" s="19">
        <f>ROUND($F$10/8,4)</f>
        <v>0.0366</v>
      </c>
      <c r="G15" s="23">
        <f t="shared" si="0"/>
        <v>0.0659</v>
      </c>
    </row>
    <row r="16" spans="1:7" ht="13.5" thickBot="1">
      <c r="A16" s="20" t="s">
        <v>71</v>
      </c>
      <c r="B16" s="24">
        <v>2.15</v>
      </c>
      <c r="C16" s="19">
        <f>ROUND(B16*RAW!$K$10,4)</f>
        <v>0.0108</v>
      </c>
      <c r="D16" s="23">
        <f>INPUT!$B$22</f>
        <v>0.1129</v>
      </c>
      <c r="E16" s="23">
        <f>E10</f>
        <v>0</v>
      </c>
      <c r="F16" s="19">
        <f>ROUND($F$10,4)</f>
        <v>0.2927</v>
      </c>
      <c r="G16" s="23">
        <f t="shared" si="0"/>
        <v>0.4164</v>
      </c>
    </row>
    <row r="17" spans="1:2" ht="14.25" thickBot="1" thickTop="1">
      <c r="A17" s="15" t="s">
        <v>53</v>
      </c>
      <c r="B17" s="25"/>
    </row>
    <row r="18" spans="1:7" ht="13.5" thickTop="1">
      <c r="A18" s="17" t="s">
        <v>10</v>
      </c>
      <c r="B18" s="24">
        <v>8.62</v>
      </c>
      <c r="C18" s="23">
        <f>ROUND(B18*RAW!$K$11,4)</f>
        <v>0.044</v>
      </c>
      <c r="D18" s="23">
        <f>INPUT!$B$13</f>
        <v>0</v>
      </c>
      <c r="E18" s="23">
        <f>E20*4</f>
        <v>0</v>
      </c>
      <c r="F18" s="19">
        <f>+F20*4</f>
        <v>1.1708</v>
      </c>
      <c r="G18" s="23">
        <f>ROUND(SUM(C18:F18),4)</f>
        <v>1.2148</v>
      </c>
    </row>
    <row r="19" spans="1:7" ht="12.75">
      <c r="A19" s="16" t="s">
        <v>67</v>
      </c>
      <c r="B19" s="24">
        <v>4.31</v>
      </c>
      <c r="C19" s="23">
        <f>ROUND(B19*RAW!$K$11,4)</f>
        <v>0.022</v>
      </c>
      <c r="D19" s="23">
        <f>INPUT!$B$14</f>
        <v>0</v>
      </c>
      <c r="E19" s="23">
        <f>E20*2</f>
        <v>0</v>
      </c>
      <c r="F19" s="19">
        <f>+F20*2</f>
        <v>0.5854</v>
      </c>
      <c r="G19" s="23">
        <f aca="true" t="shared" si="1" ref="G19:G26">ROUND(SUM(C19:F19),4)</f>
        <v>0.6074</v>
      </c>
    </row>
    <row r="20" spans="1:7" ht="12.75">
      <c r="A20" s="16" t="s">
        <v>12</v>
      </c>
      <c r="B20" s="24">
        <v>2.155</v>
      </c>
      <c r="C20" s="23">
        <f>ROUND(B20*RAW!$K$11,4)</f>
        <v>0.011</v>
      </c>
      <c r="D20" s="23">
        <f>INPUT!$B$15</f>
        <v>0</v>
      </c>
      <c r="E20" s="23">
        <f>INPUT!B$34</f>
        <v>0</v>
      </c>
      <c r="F20" s="19">
        <f>INPUT!$B$29</f>
        <v>0.2927</v>
      </c>
      <c r="G20" s="23">
        <f t="shared" si="1"/>
        <v>0.3037</v>
      </c>
    </row>
    <row r="21" spans="1:7" ht="12.75">
      <c r="A21" s="16" t="s">
        <v>13</v>
      </c>
      <c r="B21" s="24">
        <v>1.0775</v>
      </c>
      <c r="C21" s="23">
        <f>ROUND(B21*RAW!$K$11,4)</f>
        <v>0.0055</v>
      </c>
      <c r="D21" s="23">
        <f>INPUT!$B$16</f>
        <v>0</v>
      </c>
      <c r="E21" s="23">
        <f>ROUND(E20/2,4)</f>
        <v>0</v>
      </c>
      <c r="F21" s="19">
        <f>ROUND($F$10/2,4)</f>
        <v>0.1464</v>
      </c>
      <c r="G21" s="23">
        <f t="shared" si="1"/>
        <v>0.1519</v>
      </c>
    </row>
    <row r="22" spans="1:7" ht="12.75">
      <c r="A22" s="16" t="s">
        <v>189</v>
      </c>
      <c r="B22" s="24">
        <f>ROUND(B23/10*12,4)</f>
        <v>0.8081</v>
      </c>
      <c r="C22" s="23">
        <f>ROUND(B22*RAW!$K$11,4)</f>
        <v>0.0041</v>
      </c>
      <c r="D22" s="23">
        <f>INPUT!$B$17</f>
        <v>0.0367</v>
      </c>
      <c r="E22" s="23">
        <f>ROUND(E20/32*12,4)</f>
        <v>0</v>
      </c>
      <c r="F22" s="19">
        <f>ROUND($F$10/32*12,4)</f>
        <v>0.1098</v>
      </c>
      <c r="G22" s="23">
        <f t="shared" si="1"/>
        <v>0.1506</v>
      </c>
    </row>
    <row r="23" spans="1:7" ht="12.75">
      <c r="A23" s="16" t="s">
        <v>68</v>
      </c>
      <c r="B23" s="24">
        <v>0.673438</v>
      </c>
      <c r="C23" s="23">
        <f>ROUND(B23*RAW!$K$11,4)</f>
        <v>0.0034</v>
      </c>
      <c r="D23" s="23">
        <f>INPUT!$B$18</f>
        <v>0.0544</v>
      </c>
      <c r="E23" s="23">
        <f>ROUND(E20/32*10,4)</f>
        <v>0</v>
      </c>
      <c r="F23" s="19">
        <f>ROUND($F$10/32*10,4)</f>
        <v>0.0915</v>
      </c>
      <c r="G23" s="23">
        <f t="shared" si="1"/>
        <v>0.1493</v>
      </c>
    </row>
    <row r="24" spans="1:7" ht="12.75">
      <c r="A24" s="16" t="s">
        <v>69</v>
      </c>
      <c r="B24" s="24">
        <v>0.53875</v>
      </c>
      <c r="C24" s="23">
        <f>ROUND(B24*RAW!$K$11,4)</f>
        <v>0.0027</v>
      </c>
      <c r="D24" s="23">
        <f>INPUT!$B$19</f>
        <v>0</v>
      </c>
      <c r="E24" s="23">
        <f>ROUND(E20/4,4)</f>
        <v>0</v>
      </c>
      <c r="F24" s="19">
        <f>ROUND($F$10/4,4)</f>
        <v>0.0732</v>
      </c>
      <c r="G24" s="23">
        <f t="shared" si="1"/>
        <v>0.0759</v>
      </c>
    </row>
    <row r="25" spans="1:7" ht="12.75">
      <c r="A25" s="16" t="s">
        <v>70</v>
      </c>
      <c r="B25" s="24">
        <v>0.269375</v>
      </c>
      <c r="C25" s="23">
        <f>ROUND(B25*RAW!$K$11,4)</f>
        <v>0.0014</v>
      </c>
      <c r="D25" s="23">
        <f>INPUT!$B$21</f>
        <v>0.028</v>
      </c>
      <c r="E25" s="23">
        <f>ROUND(E20/32*4,4)</f>
        <v>0</v>
      </c>
      <c r="F25" s="19">
        <f>ROUND($F$10/8,4)</f>
        <v>0.0366</v>
      </c>
      <c r="G25" s="23">
        <f t="shared" si="1"/>
        <v>0.066</v>
      </c>
    </row>
    <row r="26" spans="1:7" ht="13.5" thickBot="1">
      <c r="A26" s="18" t="s">
        <v>71</v>
      </c>
      <c r="B26" s="24">
        <v>2.155</v>
      </c>
      <c r="C26" s="23">
        <f>ROUND(B26*RAW!$K$11,4)</f>
        <v>0.011</v>
      </c>
      <c r="D26" s="23">
        <f>INPUT!$B$22</f>
        <v>0.1129</v>
      </c>
      <c r="E26" s="23">
        <f>E20</f>
        <v>0</v>
      </c>
      <c r="F26" s="19">
        <f>ROUND($F$10,4)</f>
        <v>0.2927</v>
      </c>
      <c r="G26" s="23">
        <f t="shared" si="1"/>
        <v>0.4166</v>
      </c>
    </row>
    <row r="27" spans="1:2" ht="14.25" thickBot="1" thickTop="1">
      <c r="A27" s="15" t="s">
        <v>54</v>
      </c>
      <c r="B27" s="25"/>
    </row>
    <row r="28" spans="1:7" ht="13.5" thickTop="1">
      <c r="A28" s="17" t="s">
        <v>10</v>
      </c>
      <c r="B28" s="24">
        <v>8.62</v>
      </c>
      <c r="C28" s="23">
        <f>ROUND(B28*RAW!$K$12,4)</f>
        <v>0.044</v>
      </c>
      <c r="D28" s="23">
        <f>INPUT!$B$13</f>
        <v>0</v>
      </c>
      <c r="E28" s="23">
        <f>E30*4</f>
        <v>0</v>
      </c>
      <c r="F28" s="19">
        <f>+F30*4</f>
        <v>1.1708</v>
      </c>
      <c r="G28" s="23">
        <f>ROUND(SUM(C28:F28),4)</f>
        <v>1.2148</v>
      </c>
    </row>
    <row r="29" spans="1:7" ht="12.75">
      <c r="A29" s="16" t="s">
        <v>67</v>
      </c>
      <c r="B29" s="24">
        <v>4.31</v>
      </c>
      <c r="C29" s="23">
        <f>ROUND(B29*RAW!$K$12,4)</f>
        <v>0.022</v>
      </c>
      <c r="D29" s="23">
        <f>INPUT!$B$14</f>
        <v>0</v>
      </c>
      <c r="E29" s="23">
        <f>E30*2</f>
        <v>0</v>
      </c>
      <c r="F29" s="19">
        <f>+F30*2</f>
        <v>0.5854</v>
      </c>
      <c r="G29" s="23">
        <f aca="true" t="shared" si="2" ref="G29:G36">ROUND(SUM(C29:F29),4)</f>
        <v>0.6074</v>
      </c>
    </row>
    <row r="30" spans="1:7" ht="12.75">
      <c r="A30" s="16" t="s">
        <v>12</v>
      </c>
      <c r="B30" s="24">
        <v>2.155</v>
      </c>
      <c r="C30" s="23">
        <f>ROUND(B30*RAW!$K$12,4)</f>
        <v>0.011</v>
      </c>
      <c r="D30" s="23">
        <f>INPUT!$B$15</f>
        <v>0</v>
      </c>
      <c r="E30" s="23">
        <f>INPUT!B$34</f>
        <v>0</v>
      </c>
      <c r="F30" s="19">
        <f>INPUT!$B$29</f>
        <v>0.2927</v>
      </c>
      <c r="G30" s="23">
        <f t="shared" si="2"/>
        <v>0.3037</v>
      </c>
    </row>
    <row r="31" spans="1:7" ht="12.75">
      <c r="A31" s="16" t="s">
        <v>13</v>
      </c>
      <c r="B31" s="24">
        <v>1.0775</v>
      </c>
      <c r="C31" s="23">
        <f>ROUND(B31*RAW!$K$12,4)</f>
        <v>0.0055</v>
      </c>
      <c r="D31" s="23">
        <f>INPUT!$B$16</f>
        <v>0</v>
      </c>
      <c r="E31" s="23">
        <f>ROUND(E30/2,4)</f>
        <v>0</v>
      </c>
      <c r="F31" s="19">
        <f>ROUND($F$10/2,4)</f>
        <v>0.1464</v>
      </c>
      <c r="G31" s="23">
        <f t="shared" si="2"/>
        <v>0.1519</v>
      </c>
    </row>
    <row r="32" spans="1:7" ht="12.75">
      <c r="A32" s="16" t="s">
        <v>189</v>
      </c>
      <c r="B32" s="24">
        <f>ROUND(B33/10*12,4)</f>
        <v>0.8081</v>
      </c>
      <c r="C32" s="23">
        <f>ROUND(B32*RAW!$K$12,4)</f>
        <v>0.0041</v>
      </c>
      <c r="D32" s="23">
        <f>INPUT!$B$17</f>
        <v>0.0367</v>
      </c>
      <c r="E32" s="23">
        <f>ROUND(E30/32*12,4)</f>
        <v>0</v>
      </c>
      <c r="F32" s="19">
        <f>ROUND($F$10/32*12,4)</f>
        <v>0.1098</v>
      </c>
      <c r="G32" s="23">
        <f t="shared" si="2"/>
        <v>0.1506</v>
      </c>
    </row>
    <row r="33" spans="1:7" ht="12.75">
      <c r="A33" s="16" t="s">
        <v>68</v>
      </c>
      <c r="B33" s="24">
        <v>0.673438</v>
      </c>
      <c r="C33" s="23">
        <f>ROUND(B33*RAW!$K$12,4)</f>
        <v>0.0034</v>
      </c>
      <c r="D33" s="23">
        <f>INPUT!$B$18</f>
        <v>0.0544</v>
      </c>
      <c r="E33" s="23">
        <f>ROUND(E30/32*10,4)</f>
        <v>0</v>
      </c>
      <c r="F33" s="19">
        <f>ROUND($F$10/32*10,4)</f>
        <v>0.0915</v>
      </c>
      <c r="G33" s="23">
        <f t="shared" si="2"/>
        <v>0.1493</v>
      </c>
    </row>
    <row r="34" spans="1:7" ht="12.75">
      <c r="A34" s="16" t="s">
        <v>69</v>
      </c>
      <c r="B34" s="24">
        <v>0.53875</v>
      </c>
      <c r="C34" s="23">
        <f>ROUND(B34*RAW!$K$12,4)</f>
        <v>0.0027</v>
      </c>
      <c r="D34" s="23">
        <f>INPUT!$B$19</f>
        <v>0</v>
      </c>
      <c r="E34" s="23">
        <f>ROUND(E30/4,4)</f>
        <v>0</v>
      </c>
      <c r="F34" s="19">
        <f>ROUND($F$10/4,4)</f>
        <v>0.0732</v>
      </c>
      <c r="G34" s="23">
        <f t="shared" si="2"/>
        <v>0.0759</v>
      </c>
    </row>
    <row r="35" spans="1:7" ht="12.75">
      <c r="A35" s="16" t="s">
        <v>70</v>
      </c>
      <c r="B35" s="24">
        <v>0.269375</v>
      </c>
      <c r="C35" s="23">
        <f>ROUND(B35*RAW!$K$12,4)</f>
        <v>0.0014</v>
      </c>
      <c r="D35" s="23">
        <f>INPUT!$B$21</f>
        <v>0.028</v>
      </c>
      <c r="E35" s="23">
        <f>ROUND(E30/32*4,4)</f>
        <v>0</v>
      </c>
      <c r="F35" s="19">
        <f>ROUND($F$10/8,4)</f>
        <v>0.0366</v>
      </c>
      <c r="G35" s="23">
        <f t="shared" si="2"/>
        <v>0.066</v>
      </c>
    </row>
    <row r="36" spans="1:7" ht="13.5" thickBot="1">
      <c r="A36" s="18" t="s">
        <v>71</v>
      </c>
      <c r="B36" s="24">
        <v>2.155</v>
      </c>
      <c r="C36" s="23">
        <f>ROUND(B36*RAW!$K$12,4)</f>
        <v>0.011</v>
      </c>
      <c r="D36" s="23">
        <f>INPUT!$B$22</f>
        <v>0.1129</v>
      </c>
      <c r="E36" s="23">
        <f>E30</f>
        <v>0</v>
      </c>
      <c r="F36" s="19">
        <f>ROUND($F$10,4)</f>
        <v>0.2927</v>
      </c>
      <c r="G36" s="23">
        <f t="shared" si="2"/>
        <v>0.4166</v>
      </c>
    </row>
    <row r="37" spans="1:2" ht="14.25" thickBot="1" thickTop="1">
      <c r="A37" s="15" t="s">
        <v>55</v>
      </c>
      <c r="B37" s="25"/>
    </row>
    <row r="38" spans="1:7" ht="13.5" thickTop="1">
      <c r="A38" s="17" t="s">
        <v>10</v>
      </c>
      <c r="B38" s="24">
        <v>8.63</v>
      </c>
      <c r="C38" s="19">
        <f>ROUND(B38*RAW!$K$13,4)</f>
        <v>0.057</v>
      </c>
      <c r="D38" s="23">
        <f>INPUT!$B$13</f>
        <v>0</v>
      </c>
      <c r="E38" s="23">
        <f>E40*4</f>
        <v>0</v>
      </c>
      <c r="F38" s="19">
        <f>+F40*4</f>
        <v>1.1708</v>
      </c>
      <c r="G38" s="23">
        <f>ROUND(SUM(C38:F38),4)</f>
        <v>1.2278</v>
      </c>
    </row>
    <row r="39" spans="1:7" ht="12.75">
      <c r="A39" s="16" t="s">
        <v>67</v>
      </c>
      <c r="B39" s="24">
        <v>4.315</v>
      </c>
      <c r="C39" s="19">
        <f>ROUND(B39*RAW!$K$13,4)</f>
        <v>0.0285</v>
      </c>
      <c r="D39" s="23">
        <f>INPUT!$B$14</f>
        <v>0</v>
      </c>
      <c r="E39" s="23">
        <f>E40*2</f>
        <v>0</v>
      </c>
      <c r="F39" s="19">
        <f>+F40*2</f>
        <v>0.5854</v>
      </c>
      <c r="G39" s="23">
        <f aca="true" t="shared" si="3" ref="G39:G46">ROUND(SUM(C39:F39),4)</f>
        <v>0.6139</v>
      </c>
    </row>
    <row r="40" spans="1:7" ht="12.75">
      <c r="A40" s="16" t="s">
        <v>12</v>
      </c>
      <c r="B40" s="24">
        <v>2.1575</v>
      </c>
      <c r="C40" s="19">
        <f>ROUND(B40*RAW!$K$13,4)</f>
        <v>0.0142</v>
      </c>
      <c r="D40" s="23">
        <f>INPUT!$B$15</f>
        <v>0</v>
      </c>
      <c r="E40" s="23">
        <f>INPUT!B$34</f>
        <v>0</v>
      </c>
      <c r="F40" s="19">
        <f>INPUT!$B$29</f>
        <v>0.2927</v>
      </c>
      <c r="G40" s="23">
        <f t="shared" si="3"/>
        <v>0.3069</v>
      </c>
    </row>
    <row r="41" spans="1:7" ht="12.75">
      <c r="A41" s="16" t="s">
        <v>13</v>
      </c>
      <c r="B41" s="24">
        <v>1.07875</v>
      </c>
      <c r="C41" s="19">
        <f>ROUND(B41*RAW!$K$13,4)</f>
        <v>0.0071</v>
      </c>
      <c r="D41" s="23">
        <f>INPUT!$B$16</f>
        <v>0</v>
      </c>
      <c r="E41" s="23">
        <f>ROUND(E40/2,4)</f>
        <v>0</v>
      </c>
      <c r="F41" s="19">
        <f>ROUND($F$10/2,4)</f>
        <v>0.1464</v>
      </c>
      <c r="G41" s="23">
        <f t="shared" si="3"/>
        <v>0.1535</v>
      </c>
    </row>
    <row r="42" spans="1:7" ht="12.75">
      <c r="A42" s="16" t="s">
        <v>189</v>
      </c>
      <c r="B42" s="24">
        <f>ROUND(B43/10*12,4)</f>
        <v>0.8091</v>
      </c>
      <c r="C42" s="19">
        <f>ROUND(B42*RAW!$K$13,4)</f>
        <v>0.0053</v>
      </c>
      <c r="D42" s="23">
        <f>INPUT!$B$17</f>
        <v>0.0367</v>
      </c>
      <c r="E42" s="23">
        <f>ROUND(E40/32*12,4)</f>
        <v>0</v>
      </c>
      <c r="F42" s="19">
        <f>ROUND($F$10/32*12,4)</f>
        <v>0.1098</v>
      </c>
      <c r="G42" s="23">
        <f t="shared" si="3"/>
        <v>0.1518</v>
      </c>
    </row>
    <row r="43" spans="1:7" ht="12.75">
      <c r="A43" s="16" t="s">
        <v>68</v>
      </c>
      <c r="B43" s="24">
        <v>0.674219</v>
      </c>
      <c r="C43" s="19">
        <f>ROUND(B43*RAW!$K$13,4)</f>
        <v>0.0044</v>
      </c>
      <c r="D43" s="23">
        <f>INPUT!$B$18</f>
        <v>0.0544</v>
      </c>
      <c r="E43" s="23">
        <f>ROUND(E40/32*10,4)</f>
        <v>0</v>
      </c>
      <c r="F43" s="19">
        <f>ROUND($F$10/32*10,4)</f>
        <v>0.0915</v>
      </c>
      <c r="G43" s="23">
        <f t="shared" si="3"/>
        <v>0.1503</v>
      </c>
    </row>
    <row r="44" spans="1:7" ht="12.75">
      <c r="A44" s="16" t="s">
        <v>69</v>
      </c>
      <c r="B44" s="24">
        <v>0.539375</v>
      </c>
      <c r="C44" s="19">
        <f>ROUND(B44*RAW!$K$13,4)</f>
        <v>0.0036</v>
      </c>
      <c r="D44" s="23">
        <f>INPUT!$B$19</f>
        <v>0</v>
      </c>
      <c r="E44" s="23">
        <f>ROUND(E40/4,4)</f>
        <v>0</v>
      </c>
      <c r="F44" s="19">
        <f>ROUND($F$10/4,4)</f>
        <v>0.0732</v>
      </c>
      <c r="G44" s="23">
        <f t="shared" si="3"/>
        <v>0.0768</v>
      </c>
    </row>
    <row r="45" spans="1:7" ht="12.75">
      <c r="A45" s="16" t="s">
        <v>70</v>
      </c>
      <c r="B45" s="24">
        <v>0.269688</v>
      </c>
      <c r="C45" s="19">
        <f>ROUND(B45*RAW!$K$13,4)</f>
        <v>0.0018</v>
      </c>
      <c r="D45" s="23">
        <f>INPUT!$B$21</f>
        <v>0.028</v>
      </c>
      <c r="E45" s="23">
        <f>ROUND(E40/32*4,4)</f>
        <v>0</v>
      </c>
      <c r="F45" s="19">
        <f>ROUND($F$10/8,4)</f>
        <v>0.0366</v>
      </c>
      <c r="G45" s="23">
        <f t="shared" si="3"/>
        <v>0.0664</v>
      </c>
    </row>
    <row r="46" spans="1:7" ht="13.5" thickBot="1">
      <c r="A46" s="16" t="s">
        <v>71</v>
      </c>
      <c r="B46" s="24">
        <v>2.1575</v>
      </c>
      <c r="C46" s="19">
        <f>ROUND(B46*RAW!$K$13,4)</f>
        <v>0.0142</v>
      </c>
      <c r="D46" s="23">
        <f>INPUT!$B$22</f>
        <v>0.1129</v>
      </c>
      <c r="E46" s="23">
        <f>E40</f>
        <v>0</v>
      </c>
      <c r="F46" s="19">
        <f>ROUND($F$10,4)</f>
        <v>0.2927</v>
      </c>
      <c r="G46" s="23">
        <f t="shared" si="3"/>
        <v>0.4198</v>
      </c>
    </row>
    <row r="47" spans="1:2" ht="14.25" thickBot="1" thickTop="1">
      <c r="A47" s="15" t="s">
        <v>22</v>
      </c>
      <c r="B47" s="25"/>
    </row>
    <row r="48" spans="1:7" ht="13.5" thickTop="1">
      <c r="A48" s="17" t="s">
        <v>10</v>
      </c>
      <c r="B48" s="24">
        <v>8</v>
      </c>
      <c r="C48" s="23">
        <f>ROUND(B48*RAW!$K$14,4)</f>
        <v>0.04</v>
      </c>
      <c r="D48" s="23">
        <f>INPUT!$B$13</f>
        <v>0</v>
      </c>
      <c r="E48" s="23">
        <f>E50*4</f>
        <v>0</v>
      </c>
      <c r="F48" s="19">
        <f>+F50*4</f>
        <v>1.1708</v>
      </c>
      <c r="G48" s="23">
        <f>ROUND(SUM(C48:F48),4)</f>
        <v>1.2108</v>
      </c>
    </row>
    <row r="49" spans="1:7" ht="12.75">
      <c r="A49" s="16" t="s">
        <v>67</v>
      </c>
      <c r="B49" s="24">
        <v>4</v>
      </c>
      <c r="C49" s="23">
        <f>ROUND(B49*RAW!$K$14,4)</f>
        <v>0.02</v>
      </c>
      <c r="D49" s="23">
        <f>INPUT!$B$14</f>
        <v>0</v>
      </c>
      <c r="E49" s="23">
        <f>E50*2</f>
        <v>0</v>
      </c>
      <c r="F49" s="19">
        <f>+F50*2</f>
        <v>0.5854</v>
      </c>
      <c r="G49" s="23">
        <f aca="true" t="shared" si="4" ref="G49:G56">ROUND(SUM(C49:F49),4)</f>
        <v>0.6054</v>
      </c>
    </row>
    <row r="50" spans="1:7" ht="12.75">
      <c r="A50" s="16" t="s">
        <v>12</v>
      </c>
      <c r="B50" s="24">
        <v>2</v>
      </c>
      <c r="C50" s="23">
        <f>ROUND(B50*RAW!$K$14,4)</f>
        <v>0.01</v>
      </c>
      <c r="D50" s="23">
        <f>INPUT!$B$15</f>
        <v>0</v>
      </c>
      <c r="E50" s="23">
        <f>INPUT!B$34</f>
        <v>0</v>
      </c>
      <c r="F50" s="19">
        <f>INPUT!$B$29</f>
        <v>0.2927</v>
      </c>
      <c r="G50" s="23">
        <f t="shared" si="4"/>
        <v>0.3027</v>
      </c>
    </row>
    <row r="51" spans="1:7" ht="12.75">
      <c r="A51" s="16" t="s">
        <v>13</v>
      </c>
      <c r="B51" s="24">
        <v>1</v>
      </c>
      <c r="C51" s="23">
        <f>ROUND(B51*RAW!$K$14,4)</f>
        <v>0.005</v>
      </c>
      <c r="D51" s="23">
        <f>INPUT!$B$16</f>
        <v>0</v>
      </c>
      <c r="E51" s="23">
        <f>ROUND(E50/2,4)</f>
        <v>0</v>
      </c>
      <c r="F51" s="19">
        <f>ROUND($F$10/2,4)</f>
        <v>0.1464</v>
      </c>
      <c r="G51" s="23">
        <f t="shared" si="4"/>
        <v>0.1514</v>
      </c>
    </row>
    <row r="52" spans="1:7" ht="12.75">
      <c r="A52" s="16" t="s">
        <v>189</v>
      </c>
      <c r="B52" s="24">
        <f>B53/10*12</f>
        <v>0.75</v>
      </c>
      <c r="C52" s="23">
        <f>ROUND(B52*RAW!$K$14,4)</f>
        <v>0.0038</v>
      </c>
      <c r="D52" s="23">
        <f>INPUT!$B$17</f>
        <v>0.0367</v>
      </c>
      <c r="E52" s="23">
        <f>ROUND(E50/32*12,4)</f>
        <v>0</v>
      </c>
      <c r="F52" s="19">
        <f>ROUND($F$10/32*12,4)</f>
        <v>0.1098</v>
      </c>
      <c r="G52" s="23">
        <f t="shared" si="4"/>
        <v>0.1503</v>
      </c>
    </row>
    <row r="53" spans="1:7" ht="12.75">
      <c r="A53" s="16" t="s">
        <v>68</v>
      </c>
      <c r="B53" s="24">
        <v>0.625</v>
      </c>
      <c r="C53" s="23">
        <f>ROUND(B53*RAW!$K$14,4)</f>
        <v>0.0031</v>
      </c>
      <c r="D53" s="23">
        <f>INPUT!$B$18</f>
        <v>0.0544</v>
      </c>
      <c r="E53" s="23">
        <f>ROUND(E50/32*10,4)</f>
        <v>0</v>
      </c>
      <c r="F53" s="19">
        <f>ROUND($F$10/32*10,4)</f>
        <v>0.0915</v>
      </c>
      <c r="G53" s="23">
        <f t="shared" si="4"/>
        <v>0.149</v>
      </c>
    </row>
    <row r="54" spans="1:7" ht="12.75">
      <c r="A54" s="16" t="s">
        <v>69</v>
      </c>
      <c r="B54" s="24">
        <v>0.5</v>
      </c>
      <c r="C54" s="23">
        <f>ROUND(B54*RAW!$K$14,4)</f>
        <v>0.0025</v>
      </c>
      <c r="D54" s="23">
        <f>INPUT!$B$19</f>
        <v>0</v>
      </c>
      <c r="E54" s="23">
        <f>ROUND(E50/4,4)</f>
        <v>0</v>
      </c>
      <c r="F54" s="19">
        <f>ROUND($F$10/4,4)</f>
        <v>0.0732</v>
      </c>
      <c r="G54" s="23">
        <f t="shared" si="4"/>
        <v>0.0757</v>
      </c>
    </row>
    <row r="55" spans="1:7" ht="12.75">
      <c r="A55" s="16" t="s">
        <v>70</v>
      </c>
      <c r="B55" s="24">
        <v>0.25</v>
      </c>
      <c r="C55" s="23">
        <f>ROUND(B55*RAW!$K$14,4)</f>
        <v>0.0013</v>
      </c>
      <c r="D55" s="23">
        <f>INPUT!$B$21</f>
        <v>0.028</v>
      </c>
      <c r="E55" s="23">
        <f>ROUND(E50/32*4,4)</f>
        <v>0</v>
      </c>
      <c r="F55" s="19">
        <f>ROUND($F$10/8,4)</f>
        <v>0.0366</v>
      </c>
      <c r="G55" s="23">
        <f t="shared" si="4"/>
        <v>0.0659</v>
      </c>
    </row>
    <row r="56" spans="1:7" ht="13.5" thickBot="1">
      <c r="A56" s="18" t="s">
        <v>71</v>
      </c>
      <c r="B56" s="24">
        <v>2</v>
      </c>
      <c r="C56" s="23">
        <f>ROUND(B56*RAW!$K$14,4)</f>
        <v>0.01</v>
      </c>
      <c r="D56" s="23">
        <f>INPUT!$B$22</f>
        <v>0.1129</v>
      </c>
      <c r="E56" s="23">
        <f>E50</f>
        <v>0</v>
      </c>
      <c r="F56" s="19">
        <f>ROUND($F$10,4)</f>
        <v>0.2927</v>
      </c>
      <c r="G56" s="23">
        <f t="shared" si="4"/>
        <v>0.4156</v>
      </c>
    </row>
    <row r="57" spans="1:2" ht="14.25" thickBot="1" thickTop="1">
      <c r="A57" s="15" t="s">
        <v>56</v>
      </c>
      <c r="B57" s="25"/>
    </row>
    <row r="58" spans="1:7" ht="13.5" thickTop="1">
      <c r="A58" s="17" t="s">
        <v>10</v>
      </c>
      <c r="B58" s="24">
        <v>8</v>
      </c>
      <c r="C58" s="23">
        <f>ROUND(B58*RAW!$K$15,4)</f>
        <v>0.04</v>
      </c>
      <c r="D58" s="23">
        <f>INPUT!$B$13</f>
        <v>0</v>
      </c>
      <c r="E58" s="23">
        <f>E60*4</f>
        <v>0</v>
      </c>
      <c r="F58" s="19">
        <f>+F60*4</f>
        <v>1.1708</v>
      </c>
      <c r="G58" s="23">
        <f>ROUND(SUM(C58:F58),4)</f>
        <v>1.2108</v>
      </c>
    </row>
    <row r="59" spans="1:7" ht="12.75">
      <c r="A59" s="16" t="s">
        <v>67</v>
      </c>
      <c r="B59" s="24">
        <v>4</v>
      </c>
      <c r="C59" s="23">
        <f>ROUND(B59*RAW!$K$15,4)</f>
        <v>0.02</v>
      </c>
      <c r="D59" s="23">
        <f>INPUT!$B$14</f>
        <v>0</v>
      </c>
      <c r="E59" s="23">
        <f>E60*2</f>
        <v>0</v>
      </c>
      <c r="F59" s="19">
        <f>+F60*2</f>
        <v>0.5854</v>
      </c>
      <c r="G59" s="23">
        <f aca="true" t="shared" si="5" ref="G59:G66">ROUND(SUM(C59:F59),4)</f>
        <v>0.6054</v>
      </c>
    </row>
    <row r="60" spans="1:7" ht="12.75">
      <c r="A60" s="16" t="s">
        <v>12</v>
      </c>
      <c r="B60" s="24">
        <v>2</v>
      </c>
      <c r="C60" s="23">
        <f>ROUND(B60*RAW!$K$15,4)</f>
        <v>0.01</v>
      </c>
      <c r="D60" s="23">
        <f>INPUT!$B$15</f>
        <v>0</v>
      </c>
      <c r="E60" s="23">
        <f>INPUT!B$34</f>
        <v>0</v>
      </c>
      <c r="F60" s="19">
        <f>INPUT!$B$29</f>
        <v>0.2927</v>
      </c>
      <c r="G60" s="23">
        <f t="shared" si="5"/>
        <v>0.3027</v>
      </c>
    </row>
    <row r="61" spans="1:7" ht="12.75">
      <c r="A61" s="16" t="s">
        <v>13</v>
      </c>
      <c r="B61" s="24">
        <v>1</v>
      </c>
      <c r="C61" s="23">
        <f>ROUND(B61*RAW!$K$15,4)</f>
        <v>0.005</v>
      </c>
      <c r="D61" s="23">
        <f>INPUT!$B$16</f>
        <v>0</v>
      </c>
      <c r="E61" s="23">
        <f>ROUND(E60/2,4)</f>
        <v>0</v>
      </c>
      <c r="F61" s="19">
        <f>ROUND($F$10/2,4)</f>
        <v>0.1464</v>
      </c>
      <c r="G61" s="23">
        <f t="shared" si="5"/>
        <v>0.1514</v>
      </c>
    </row>
    <row r="62" spans="1:7" ht="12.75">
      <c r="A62" s="16" t="s">
        <v>189</v>
      </c>
      <c r="B62" s="24">
        <f>B63/10*12</f>
        <v>0.75</v>
      </c>
      <c r="C62" s="23">
        <f>ROUND(B62*RAW!$K$15,4)</f>
        <v>0.0038</v>
      </c>
      <c r="D62" s="23">
        <f>INPUT!$B$17</f>
        <v>0.0367</v>
      </c>
      <c r="E62" s="23">
        <f>ROUND(E60/32*12,4)</f>
        <v>0</v>
      </c>
      <c r="F62" s="19">
        <f>ROUND($F$10/32*12,4)</f>
        <v>0.1098</v>
      </c>
      <c r="G62" s="23">
        <f t="shared" si="5"/>
        <v>0.1503</v>
      </c>
    </row>
    <row r="63" spans="1:7" ht="12.75">
      <c r="A63" s="16" t="s">
        <v>68</v>
      </c>
      <c r="B63" s="24">
        <v>0.625</v>
      </c>
      <c r="C63" s="23">
        <f>ROUND(B63*RAW!$K$15,4)</f>
        <v>0.0031</v>
      </c>
      <c r="D63" s="23">
        <f>INPUT!$B$18</f>
        <v>0.0544</v>
      </c>
      <c r="E63" s="23">
        <f>ROUND(E60/32*10,4)</f>
        <v>0</v>
      </c>
      <c r="F63" s="19">
        <f>ROUND($F$10/32*10,4)</f>
        <v>0.0915</v>
      </c>
      <c r="G63" s="23">
        <f t="shared" si="5"/>
        <v>0.149</v>
      </c>
    </row>
    <row r="64" spans="1:7" ht="12.75">
      <c r="A64" s="16" t="s">
        <v>69</v>
      </c>
      <c r="B64" s="24">
        <v>0.5</v>
      </c>
      <c r="C64" s="23">
        <f>ROUND(B64*RAW!$K$15,4)</f>
        <v>0.0025</v>
      </c>
      <c r="D64" s="23">
        <f>INPUT!$B$19</f>
        <v>0</v>
      </c>
      <c r="E64" s="23">
        <f>ROUND(E60/4,4)</f>
        <v>0</v>
      </c>
      <c r="F64" s="19">
        <f>ROUND($F$10/4,4)</f>
        <v>0.0732</v>
      </c>
      <c r="G64" s="23">
        <f t="shared" si="5"/>
        <v>0.0757</v>
      </c>
    </row>
    <row r="65" spans="1:7" ht="12.75">
      <c r="A65" s="16" t="s">
        <v>70</v>
      </c>
      <c r="B65" s="24">
        <v>0.25</v>
      </c>
      <c r="C65" s="23">
        <f>ROUND(B65*RAW!$K$15,4)</f>
        <v>0.0013</v>
      </c>
      <c r="D65" s="23">
        <f>INPUT!$B$21</f>
        <v>0.028</v>
      </c>
      <c r="E65" s="23">
        <f>ROUND(E60/32*4,4)</f>
        <v>0</v>
      </c>
      <c r="F65" s="19">
        <f>ROUND($F$10/8,4)</f>
        <v>0.0366</v>
      </c>
      <c r="G65" s="23">
        <f t="shared" si="5"/>
        <v>0.0659</v>
      </c>
    </row>
    <row r="66" spans="1:7" ht="13.5" thickBot="1">
      <c r="A66" s="18" t="s">
        <v>71</v>
      </c>
      <c r="B66" s="24">
        <v>2</v>
      </c>
      <c r="C66" s="23">
        <f>ROUND(B66*RAW!$K$15,4)</f>
        <v>0.01</v>
      </c>
      <c r="D66" s="23">
        <f>INPUT!$B$22</f>
        <v>0.1129</v>
      </c>
      <c r="E66" s="23">
        <f>E60</f>
        <v>0</v>
      </c>
      <c r="F66" s="19">
        <f>ROUND($F$10,4)</f>
        <v>0.2927</v>
      </c>
      <c r="G66" s="23">
        <f t="shared" si="5"/>
        <v>0.4156</v>
      </c>
    </row>
    <row r="67" spans="1:2" ht="14.25" thickBot="1" thickTop="1">
      <c r="A67" s="15" t="s">
        <v>196</v>
      </c>
      <c r="B67" s="25"/>
    </row>
    <row r="68" spans="1:7" ht="13.5" thickTop="1">
      <c r="A68" s="17" t="s">
        <v>10</v>
      </c>
      <c r="B68" s="24">
        <v>8</v>
      </c>
      <c r="C68" s="23">
        <f>ROUND(B68*RAW!$K$16,4)</f>
        <v>0.04</v>
      </c>
      <c r="D68" s="23">
        <f>INPUT!$B$13</f>
        <v>0</v>
      </c>
      <c r="E68" s="23">
        <f>E70*4</f>
        <v>0</v>
      </c>
      <c r="F68" s="19">
        <f>+F70*4</f>
        <v>1.1708</v>
      </c>
      <c r="G68" s="23">
        <f>ROUND(SUM(C68:F68),4)</f>
        <v>1.2108</v>
      </c>
    </row>
    <row r="69" spans="1:7" ht="12.75">
      <c r="A69" s="16" t="s">
        <v>67</v>
      </c>
      <c r="B69" s="24">
        <v>4</v>
      </c>
      <c r="C69" s="23">
        <f>ROUND(B69*RAW!$K$16,4)</f>
        <v>0.02</v>
      </c>
      <c r="D69" s="23">
        <f>INPUT!$B$14</f>
        <v>0</v>
      </c>
      <c r="E69" s="23">
        <f>E70*2</f>
        <v>0</v>
      </c>
      <c r="F69" s="19">
        <f>+F70*2</f>
        <v>0.5854</v>
      </c>
      <c r="G69" s="23">
        <f aca="true" t="shared" si="6" ref="G69:G76">ROUND(SUM(C69:F69),4)</f>
        <v>0.6054</v>
      </c>
    </row>
    <row r="70" spans="1:7" ht="12.75">
      <c r="A70" s="16" t="s">
        <v>12</v>
      </c>
      <c r="B70" s="24">
        <v>2</v>
      </c>
      <c r="C70" s="23">
        <f>ROUND(B70*RAW!$K$16,4)</f>
        <v>0.01</v>
      </c>
      <c r="D70" s="23">
        <f>INPUT!$B$15</f>
        <v>0</v>
      </c>
      <c r="E70" s="23">
        <f>INPUT!B$34</f>
        <v>0</v>
      </c>
      <c r="F70" s="19">
        <f>INPUT!$B$29</f>
        <v>0.2927</v>
      </c>
      <c r="G70" s="23">
        <f t="shared" si="6"/>
        <v>0.3027</v>
      </c>
    </row>
    <row r="71" spans="1:7" ht="12.75">
      <c r="A71" s="16" t="s">
        <v>13</v>
      </c>
      <c r="B71" s="24">
        <v>1</v>
      </c>
      <c r="C71" s="23">
        <f>ROUND(B71*RAW!$K$16,4)</f>
        <v>0.005</v>
      </c>
      <c r="D71" s="23">
        <f>INPUT!$B$16</f>
        <v>0</v>
      </c>
      <c r="E71" s="23">
        <f>ROUND(E70/2,4)</f>
        <v>0</v>
      </c>
      <c r="F71" s="19">
        <f>ROUND($F$10/2,4)</f>
        <v>0.1464</v>
      </c>
      <c r="G71" s="23">
        <f t="shared" si="6"/>
        <v>0.1514</v>
      </c>
    </row>
    <row r="72" spans="1:7" ht="12.75">
      <c r="A72" s="16" t="s">
        <v>189</v>
      </c>
      <c r="B72" s="24">
        <f>B73/10*12</f>
        <v>0.75</v>
      </c>
      <c r="C72" s="23">
        <f>ROUND(B72*RAW!$K$16,4)</f>
        <v>0.0038</v>
      </c>
      <c r="D72" s="23">
        <f>INPUT!$B$17</f>
        <v>0.0367</v>
      </c>
      <c r="E72" s="23">
        <f>ROUND(E70/32*12,4)</f>
        <v>0</v>
      </c>
      <c r="F72" s="19">
        <f>ROUND($F$10/32*12,4)</f>
        <v>0.1098</v>
      </c>
      <c r="G72" s="23">
        <f t="shared" si="6"/>
        <v>0.1503</v>
      </c>
    </row>
    <row r="73" spans="1:7" ht="12.75">
      <c r="A73" s="16" t="s">
        <v>68</v>
      </c>
      <c r="B73" s="24">
        <v>0.625</v>
      </c>
      <c r="C73" s="23">
        <f>ROUND(B73*RAW!$K$16,4)</f>
        <v>0.0031</v>
      </c>
      <c r="D73" s="23">
        <f>INPUT!$B$18</f>
        <v>0.0544</v>
      </c>
      <c r="E73" s="23">
        <f>ROUND(E70/32*10,4)</f>
        <v>0</v>
      </c>
      <c r="F73" s="19">
        <f>ROUND($F$10/32*10,4)</f>
        <v>0.0915</v>
      </c>
      <c r="G73" s="23">
        <f t="shared" si="6"/>
        <v>0.149</v>
      </c>
    </row>
    <row r="74" spans="1:7" ht="12.75">
      <c r="A74" s="16" t="s">
        <v>69</v>
      </c>
      <c r="B74" s="24">
        <v>0.5</v>
      </c>
      <c r="C74" s="23">
        <f>ROUND(B74*RAW!$K$16,4)</f>
        <v>0.0025</v>
      </c>
      <c r="D74" s="23">
        <f>INPUT!$B$19</f>
        <v>0</v>
      </c>
      <c r="E74" s="23">
        <f>ROUND(E70/4,4)</f>
        <v>0</v>
      </c>
      <c r="F74" s="19">
        <f>ROUND($F$10/4,4)</f>
        <v>0.0732</v>
      </c>
      <c r="G74" s="23">
        <f t="shared" si="6"/>
        <v>0.0757</v>
      </c>
    </row>
    <row r="75" spans="1:7" ht="12.75">
      <c r="A75" s="16" t="s">
        <v>70</v>
      </c>
      <c r="B75" s="24">
        <v>0.25</v>
      </c>
      <c r="C75" s="23">
        <f>ROUND(B75*RAW!$K$16,4)</f>
        <v>0.0013</v>
      </c>
      <c r="D75" s="23">
        <f>INPUT!$B$21</f>
        <v>0.028</v>
      </c>
      <c r="E75" s="23">
        <f>ROUND(E70/32*4,4)</f>
        <v>0</v>
      </c>
      <c r="F75" s="19">
        <f>ROUND($F$10/8,4)</f>
        <v>0.0366</v>
      </c>
      <c r="G75" s="23">
        <f t="shared" si="6"/>
        <v>0.0659</v>
      </c>
    </row>
    <row r="76" spans="1:7" ht="13.5" thickBot="1">
      <c r="A76" s="18" t="s">
        <v>71</v>
      </c>
      <c r="B76" s="24">
        <v>2</v>
      </c>
      <c r="C76" s="23">
        <f>ROUND(B76*RAW!$K$16,4)</f>
        <v>0.01</v>
      </c>
      <c r="D76" s="23">
        <f>INPUT!$B$22</f>
        <v>0.1129</v>
      </c>
      <c r="E76" s="23">
        <f>E70</f>
        <v>0</v>
      </c>
      <c r="F76" s="19">
        <f>ROUND($F$10,4)</f>
        <v>0.2927</v>
      </c>
      <c r="G76" s="23">
        <f t="shared" si="6"/>
        <v>0.4156</v>
      </c>
    </row>
    <row r="77" spans="1:2" ht="14.25" thickBot="1" thickTop="1">
      <c r="A77" s="15" t="s">
        <v>24</v>
      </c>
      <c r="B77" s="25"/>
    </row>
    <row r="78" spans="1:7" ht="13.5" thickTop="1">
      <c r="A78" s="17" t="s">
        <v>10</v>
      </c>
      <c r="B78" s="24">
        <v>8.62</v>
      </c>
      <c r="C78" s="23">
        <f>ROUND(B78*RAW!$K$17,4)</f>
        <v>0.3957</v>
      </c>
      <c r="D78" s="23">
        <f>INPUT!$B$13</f>
        <v>0</v>
      </c>
      <c r="E78" s="23">
        <f>E80*4</f>
        <v>0</v>
      </c>
      <c r="F78" s="19">
        <f>+F80*4</f>
        <v>1.1708</v>
      </c>
      <c r="G78" s="23">
        <f>ROUND(SUM(C78:F78),4)</f>
        <v>1.5665</v>
      </c>
    </row>
    <row r="79" spans="1:7" ht="12.75">
      <c r="A79" s="16" t="s">
        <v>67</v>
      </c>
      <c r="B79" s="24">
        <v>4.31</v>
      </c>
      <c r="C79" s="23">
        <f>ROUND(B79*RAW!$K$17,4)</f>
        <v>0.1978</v>
      </c>
      <c r="D79" s="23">
        <f>INPUT!$B$14</f>
        <v>0</v>
      </c>
      <c r="E79" s="23">
        <f>E80*2</f>
        <v>0</v>
      </c>
      <c r="F79" s="19">
        <f>+F80*2</f>
        <v>0.5854</v>
      </c>
      <c r="G79" s="23">
        <f aca="true" t="shared" si="7" ref="G79:G86">ROUND(SUM(C79:F79),4)</f>
        <v>0.7832</v>
      </c>
    </row>
    <row r="80" spans="1:7" ht="12.75">
      <c r="A80" s="16" t="s">
        <v>12</v>
      </c>
      <c r="B80" s="24">
        <v>2.155</v>
      </c>
      <c r="C80" s="23">
        <f>ROUND(B80*RAW!$K$17,4)</f>
        <v>0.0989</v>
      </c>
      <c r="D80" s="23">
        <f>INPUT!$B$15</f>
        <v>0</v>
      </c>
      <c r="E80" s="23">
        <f>INPUT!B$34</f>
        <v>0</v>
      </c>
      <c r="F80" s="19">
        <f>INPUT!$B$29</f>
        <v>0.2927</v>
      </c>
      <c r="G80" s="23">
        <f t="shared" si="7"/>
        <v>0.3916</v>
      </c>
    </row>
    <row r="81" spans="1:7" ht="12.75">
      <c r="A81" s="16" t="s">
        <v>13</v>
      </c>
      <c r="B81" s="24">
        <v>1.0775</v>
      </c>
      <c r="C81" s="23">
        <f>ROUND(B81*RAW!$K$17,4)</f>
        <v>0.0495</v>
      </c>
      <c r="D81" s="23">
        <f>INPUT!$B$16</f>
        <v>0</v>
      </c>
      <c r="E81" s="23">
        <f>ROUND(E80/2,4)</f>
        <v>0</v>
      </c>
      <c r="F81" s="19">
        <f>ROUND($F$10/2,4)</f>
        <v>0.1464</v>
      </c>
      <c r="G81" s="23">
        <f t="shared" si="7"/>
        <v>0.1959</v>
      </c>
    </row>
    <row r="82" spans="1:7" ht="12.75">
      <c r="A82" s="16" t="s">
        <v>189</v>
      </c>
      <c r="B82" s="24">
        <f>ROUND(B83/10*12,4)</f>
        <v>0.8081</v>
      </c>
      <c r="C82" s="23">
        <f>ROUND(B82*RAW!$K$17,4)</f>
        <v>0.0371</v>
      </c>
      <c r="D82" s="23">
        <f>INPUT!$B$17</f>
        <v>0.0367</v>
      </c>
      <c r="E82" s="23">
        <f>ROUND(E80/32*12,4)</f>
        <v>0</v>
      </c>
      <c r="F82" s="19">
        <f>ROUND($F$10/32*12,4)</f>
        <v>0.1098</v>
      </c>
      <c r="G82" s="23">
        <f t="shared" si="7"/>
        <v>0.1836</v>
      </c>
    </row>
    <row r="83" spans="1:7" ht="12.75">
      <c r="A83" s="16" t="s">
        <v>68</v>
      </c>
      <c r="B83" s="24">
        <v>0.673438</v>
      </c>
      <c r="C83" s="23">
        <f>ROUND(B83*RAW!$K$17,4)</f>
        <v>0.0309</v>
      </c>
      <c r="D83" s="23">
        <f>INPUT!$B$18</f>
        <v>0.0544</v>
      </c>
      <c r="E83" s="23">
        <f>ROUND(E80/32*10,4)</f>
        <v>0</v>
      </c>
      <c r="F83" s="19">
        <f>ROUND($F$10/32*10,4)</f>
        <v>0.0915</v>
      </c>
      <c r="G83" s="23">
        <f t="shared" si="7"/>
        <v>0.1768</v>
      </c>
    </row>
    <row r="84" spans="1:7" ht="12.75">
      <c r="A84" s="16" t="s">
        <v>69</v>
      </c>
      <c r="B84" s="24">
        <v>0.53875</v>
      </c>
      <c r="C84" s="23">
        <f>ROUND(B84*RAW!$K$17,4)</f>
        <v>0.0247</v>
      </c>
      <c r="D84" s="23">
        <f>INPUT!$B$19</f>
        <v>0</v>
      </c>
      <c r="E84" s="23">
        <f>ROUND(E80/4,4)</f>
        <v>0</v>
      </c>
      <c r="F84" s="19">
        <f>ROUND($F$10/4,4)</f>
        <v>0.0732</v>
      </c>
      <c r="G84" s="23">
        <f t="shared" si="7"/>
        <v>0.0979</v>
      </c>
    </row>
    <row r="85" spans="1:7" ht="12.75">
      <c r="A85" s="16" t="s">
        <v>70</v>
      </c>
      <c r="B85" s="24">
        <v>0.269375</v>
      </c>
      <c r="C85" s="23">
        <f>ROUND(B85*RAW!$K$17,4)</f>
        <v>0.0124</v>
      </c>
      <c r="D85" s="23">
        <f>INPUT!$B$21</f>
        <v>0.028</v>
      </c>
      <c r="E85" s="23">
        <f>ROUND(E80/32*4,4)</f>
        <v>0</v>
      </c>
      <c r="F85" s="19">
        <f>ROUND($F$10/8,4)</f>
        <v>0.0366</v>
      </c>
      <c r="G85" s="23">
        <f t="shared" si="7"/>
        <v>0.077</v>
      </c>
    </row>
    <row r="86" spans="1:7" ht="13.5" thickBot="1">
      <c r="A86" s="18" t="s">
        <v>71</v>
      </c>
      <c r="B86" s="24">
        <v>2.155</v>
      </c>
      <c r="C86" s="23">
        <f>ROUND(B86*RAW!$K$17,4)</f>
        <v>0.0989</v>
      </c>
      <c r="D86" s="23">
        <f>INPUT!$B$22</f>
        <v>0.1129</v>
      </c>
      <c r="E86" s="23">
        <f>E80</f>
        <v>0</v>
      </c>
      <c r="F86" s="19">
        <f>ROUND($F$10,4)</f>
        <v>0.2927</v>
      </c>
      <c r="G86" s="23">
        <f t="shared" si="7"/>
        <v>0.5045</v>
      </c>
    </row>
    <row r="87" spans="1:2" ht="14.25" thickBot="1" thickTop="1">
      <c r="A87" s="15" t="s">
        <v>169</v>
      </c>
      <c r="B87" s="25"/>
    </row>
    <row r="88" spans="1:7" ht="13.5" thickTop="1">
      <c r="A88" s="17" t="s">
        <v>10</v>
      </c>
      <c r="B88" s="24">
        <f>B90*4</f>
        <v>8</v>
      </c>
      <c r="C88" s="23">
        <f>ROUND(B88*RAW!$K$18,4)</f>
        <v>1.3632</v>
      </c>
      <c r="D88" s="23">
        <f>INPUT!$B$13</f>
        <v>0</v>
      </c>
      <c r="E88" s="23">
        <f>E90*4</f>
        <v>0</v>
      </c>
      <c r="F88" s="19">
        <f>+F90*4</f>
        <v>1.1708</v>
      </c>
      <c r="G88" s="23">
        <f>ROUND(SUM(C88:F88),4)</f>
        <v>2.534</v>
      </c>
    </row>
    <row r="89" spans="1:7" ht="12.75">
      <c r="A89" s="16" t="s">
        <v>67</v>
      </c>
      <c r="B89" s="24">
        <f>B88/2</f>
        <v>4</v>
      </c>
      <c r="C89" s="23">
        <f>ROUND(B89*RAW!$K$18,4)</f>
        <v>0.6816</v>
      </c>
      <c r="D89" s="23">
        <f>INPUT!$B$14</f>
        <v>0</v>
      </c>
      <c r="E89" s="23">
        <f>E90*2</f>
        <v>0</v>
      </c>
      <c r="F89" s="19">
        <f>+F90*2</f>
        <v>0.5854</v>
      </c>
      <c r="G89" s="23">
        <f aca="true" t="shared" si="8" ref="G89:G96">ROUND(SUM(C89:F89),4)</f>
        <v>1.267</v>
      </c>
    </row>
    <row r="90" spans="1:7" ht="12.75">
      <c r="A90" s="16" t="s">
        <v>12</v>
      </c>
      <c r="B90" s="24">
        <v>2</v>
      </c>
      <c r="C90" s="23">
        <f>ROUND(B90*RAW!$K$18,4)</f>
        <v>0.3408</v>
      </c>
      <c r="D90" s="23">
        <f>INPUT!$B$15</f>
        <v>0</v>
      </c>
      <c r="E90" s="23">
        <f>INPUT!B$34</f>
        <v>0</v>
      </c>
      <c r="F90" s="19">
        <f>INPUT!$B$29</f>
        <v>0.2927</v>
      </c>
      <c r="G90" s="23">
        <f t="shared" si="8"/>
        <v>0.6335</v>
      </c>
    </row>
    <row r="91" spans="1:7" ht="12.75">
      <c r="A91" s="16" t="s">
        <v>13</v>
      </c>
      <c r="B91" s="24">
        <f>B90/2</f>
        <v>1</v>
      </c>
      <c r="C91" s="23">
        <f>ROUND(B91*RAW!$K$18,4)</f>
        <v>0.1704</v>
      </c>
      <c r="D91" s="23">
        <f>INPUT!$B$16</f>
        <v>0</v>
      </c>
      <c r="E91" s="23">
        <f>ROUND(E90/2,4)</f>
        <v>0</v>
      </c>
      <c r="F91" s="19">
        <f>ROUND($F$10/2,4)</f>
        <v>0.1464</v>
      </c>
      <c r="G91" s="23">
        <f t="shared" si="8"/>
        <v>0.3168</v>
      </c>
    </row>
    <row r="92" spans="1:7" ht="12.75">
      <c r="A92" s="16" t="s">
        <v>189</v>
      </c>
      <c r="B92" s="24">
        <f>B93/10*12</f>
        <v>0.75</v>
      </c>
      <c r="C92" s="23">
        <f>ROUND(B92*RAW!$K$18,4)</f>
        <v>0.1278</v>
      </c>
      <c r="D92" s="23">
        <f>INPUT!$B$17</f>
        <v>0.0367</v>
      </c>
      <c r="E92" s="23">
        <f>ROUND(E90/32*12,4)</f>
        <v>0</v>
      </c>
      <c r="F92" s="19">
        <f>ROUND($F$10/32*12,4)</f>
        <v>0.1098</v>
      </c>
      <c r="G92" s="23">
        <f t="shared" si="8"/>
        <v>0.2743</v>
      </c>
    </row>
    <row r="93" spans="1:7" ht="12.75">
      <c r="A93" s="16" t="s">
        <v>68</v>
      </c>
      <c r="B93" s="24">
        <f>(B90/32)*10</f>
        <v>0.625</v>
      </c>
      <c r="C93" s="23">
        <f>ROUND(B93*RAW!$K$18,4)</f>
        <v>0.1065</v>
      </c>
      <c r="D93" s="23">
        <f>INPUT!$B$18</f>
        <v>0.0544</v>
      </c>
      <c r="E93" s="23">
        <f>ROUND(E90/32*10,4)</f>
        <v>0</v>
      </c>
      <c r="F93" s="19">
        <f>ROUND($F$10/32*10,4)</f>
        <v>0.0915</v>
      </c>
      <c r="G93" s="23">
        <f t="shared" si="8"/>
        <v>0.2524</v>
      </c>
    </row>
    <row r="94" spans="1:7" ht="12.75">
      <c r="A94" s="16" t="s">
        <v>69</v>
      </c>
      <c r="B94" s="24">
        <f>B91/2</f>
        <v>0.5</v>
      </c>
      <c r="C94" s="23">
        <f>ROUND(B94*RAW!$K$18,4)</f>
        <v>0.0852</v>
      </c>
      <c r="D94" s="23">
        <f>INPUT!$B$19</f>
        <v>0</v>
      </c>
      <c r="E94" s="23">
        <f>ROUND(E90/4,4)</f>
        <v>0</v>
      </c>
      <c r="F94" s="19">
        <f>ROUND($F$10/4,4)</f>
        <v>0.0732</v>
      </c>
      <c r="G94" s="23">
        <f t="shared" si="8"/>
        <v>0.1584</v>
      </c>
    </row>
    <row r="95" spans="1:7" ht="12.75">
      <c r="A95" s="16" t="s">
        <v>70</v>
      </c>
      <c r="B95" s="24">
        <f>B94/2</f>
        <v>0.25</v>
      </c>
      <c r="C95" s="23">
        <f>ROUND(B95*RAW!$K$18,4)</f>
        <v>0.0426</v>
      </c>
      <c r="D95" s="23">
        <f>INPUT!$B$21</f>
        <v>0.028</v>
      </c>
      <c r="E95" s="23">
        <f>ROUND(E90/32*4,4)</f>
        <v>0</v>
      </c>
      <c r="F95" s="19">
        <f>ROUND($F$10/8,4)</f>
        <v>0.0366</v>
      </c>
      <c r="G95" s="23">
        <f t="shared" si="8"/>
        <v>0.1072</v>
      </c>
    </row>
    <row r="96" spans="1:7" ht="13.5" thickBot="1">
      <c r="A96" s="18" t="s">
        <v>71</v>
      </c>
      <c r="B96" s="24">
        <f>B90</f>
        <v>2</v>
      </c>
      <c r="C96" s="23">
        <f>ROUND(B96*RAW!$K$18,4)</f>
        <v>0.3408</v>
      </c>
      <c r="D96" s="23">
        <f>INPUT!$B$22</f>
        <v>0.1129</v>
      </c>
      <c r="E96" s="23">
        <f>E90</f>
        <v>0</v>
      </c>
      <c r="F96" s="19">
        <f>ROUND($F$10,4)</f>
        <v>0.2927</v>
      </c>
      <c r="G96" s="23">
        <f t="shared" si="8"/>
        <v>0.7464</v>
      </c>
    </row>
    <row r="97" spans="1:2" ht="14.25" thickBot="1" thickTop="1">
      <c r="A97" s="15" t="s">
        <v>72</v>
      </c>
      <c r="B97" s="25"/>
    </row>
    <row r="98" spans="1:9" ht="13.5" thickTop="1">
      <c r="A98" s="17" t="s">
        <v>67</v>
      </c>
      <c r="B98" s="24">
        <v>4.275</v>
      </c>
      <c r="C98" s="23">
        <f>ROUND(I98*RAW!$K$19,4)</f>
        <v>0</v>
      </c>
      <c r="D98" s="23">
        <f>INPUT!$B$14</f>
        <v>0</v>
      </c>
      <c r="E98" s="23">
        <f>E99*2</f>
        <v>0</v>
      </c>
      <c r="F98" s="19">
        <f>+F99*2</f>
        <v>0.5854</v>
      </c>
      <c r="G98" s="23">
        <f aca="true" t="shared" si="9" ref="G98:G108">ROUND(SUM(C98:F98),4)</f>
        <v>0.5854</v>
      </c>
      <c r="I98" s="24">
        <v>4.275</v>
      </c>
    </row>
    <row r="99" spans="1:9" ht="12.75">
      <c r="A99" s="16" t="s">
        <v>12</v>
      </c>
      <c r="B99" s="24">
        <v>2.1375</v>
      </c>
      <c r="C99" s="23">
        <f>ROUND(I99*RAW!$K$19,4)</f>
        <v>0</v>
      </c>
      <c r="D99" s="23">
        <f>INPUT!$B$15</f>
        <v>0</v>
      </c>
      <c r="E99" s="23">
        <f>INPUT!B$34</f>
        <v>0</v>
      </c>
      <c r="F99" s="19">
        <f>INPUT!$B$29</f>
        <v>0.2927</v>
      </c>
      <c r="G99" s="23">
        <f t="shared" si="9"/>
        <v>0.2927</v>
      </c>
      <c r="I99" s="24">
        <v>2.1375</v>
      </c>
    </row>
    <row r="100" spans="1:9" ht="12.75">
      <c r="A100" s="16" t="s">
        <v>13</v>
      </c>
      <c r="B100" s="24">
        <v>1.0688</v>
      </c>
      <c r="C100" s="23">
        <f>ROUND(I100*RAW!$K$19,4)</f>
        <v>0</v>
      </c>
      <c r="D100" s="23">
        <f>INPUT!$B$16</f>
        <v>0</v>
      </c>
      <c r="E100" s="23">
        <f>ROUND(E99/2,4)</f>
        <v>0</v>
      </c>
      <c r="F100" s="19">
        <f>ROUND($F$10/2,4)</f>
        <v>0.1464</v>
      </c>
      <c r="G100" s="23">
        <f t="shared" si="9"/>
        <v>0.1464</v>
      </c>
      <c r="I100" s="24">
        <v>1.06875</v>
      </c>
    </row>
    <row r="101" spans="1:9" ht="12.75">
      <c r="A101" s="16" t="s">
        <v>189</v>
      </c>
      <c r="B101" s="24">
        <f>ROUND(B102/10*12,4)</f>
        <v>0.8016</v>
      </c>
      <c r="C101" s="23">
        <f>ROUND(I101*RAW!$K$19,4)</f>
        <v>0</v>
      </c>
      <c r="D101" s="23">
        <f>INPUT!$B$17</f>
        <v>0.0367</v>
      </c>
      <c r="E101" s="23">
        <f>ROUND(E99/32*12,4)</f>
        <v>0</v>
      </c>
      <c r="F101" s="19">
        <f>ROUND($F$10/32*12,4)</f>
        <v>0.1098</v>
      </c>
      <c r="G101" s="23">
        <f t="shared" si="9"/>
        <v>0.1465</v>
      </c>
      <c r="I101" s="24">
        <v>0.8015628000000001</v>
      </c>
    </row>
    <row r="102" spans="1:9" ht="12.75">
      <c r="A102" s="16" t="s">
        <v>68</v>
      </c>
      <c r="B102" s="24">
        <v>0.668</v>
      </c>
      <c r="C102" s="23">
        <f>ROUND(I102*RAW!$K$19,4)</f>
        <v>0</v>
      </c>
      <c r="D102" s="23">
        <f>INPUT!$B$18</f>
        <v>0.0544</v>
      </c>
      <c r="E102" s="23">
        <f>ROUND(E99/32*10,4)</f>
        <v>0</v>
      </c>
      <c r="F102" s="19">
        <f>ROUND($F$10/32*10,4)</f>
        <v>0.0915</v>
      </c>
      <c r="G102" s="23">
        <f t="shared" si="9"/>
        <v>0.1459</v>
      </c>
      <c r="I102" s="24">
        <v>0.667969</v>
      </c>
    </row>
    <row r="103" spans="1:9" ht="12.75">
      <c r="A103" s="16" t="s">
        <v>69</v>
      </c>
      <c r="B103" s="24">
        <v>0.5344</v>
      </c>
      <c r="C103" s="23">
        <f>ROUND(I103*RAW!$K$19,4)</f>
        <v>0</v>
      </c>
      <c r="D103" s="23">
        <f>INPUT!$B$19</f>
        <v>0</v>
      </c>
      <c r="E103" s="23">
        <f>ROUND(E99/4,4)</f>
        <v>0</v>
      </c>
      <c r="F103" s="19">
        <f>ROUND($F$10/4,4)</f>
        <v>0.0732</v>
      </c>
      <c r="G103" s="23">
        <f t="shared" si="9"/>
        <v>0.0732</v>
      </c>
      <c r="I103" s="24">
        <v>0.534375</v>
      </c>
    </row>
    <row r="104" spans="1:9" ht="12.75">
      <c r="A104" s="16" t="s">
        <v>70</v>
      </c>
      <c r="B104" s="24">
        <v>0.2672</v>
      </c>
      <c r="C104" s="23">
        <f>ROUND(I104*RAW!$K$19,4)</f>
        <v>0</v>
      </c>
      <c r="D104" s="23">
        <f>INPUT!$B$21</f>
        <v>0.028</v>
      </c>
      <c r="E104" s="23">
        <f>ROUND(E99/32*4,4)</f>
        <v>0</v>
      </c>
      <c r="F104" s="19">
        <f>ROUND($F$10/8,4)</f>
        <v>0.0366</v>
      </c>
      <c r="G104" s="23">
        <f t="shared" si="9"/>
        <v>0.0646</v>
      </c>
      <c r="I104" s="24">
        <v>0.267188</v>
      </c>
    </row>
    <row r="105" spans="1:9" ht="12.75">
      <c r="A105" s="16" t="s">
        <v>71</v>
      </c>
      <c r="B105" s="24">
        <v>2.1375</v>
      </c>
      <c r="C105" s="23">
        <f>ROUND(I105*RAW!$K$19,4)</f>
        <v>0</v>
      </c>
      <c r="D105" s="23">
        <f>INPUT!$B$22</f>
        <v>0.1129</v>
      </c>
      <c r="E105" s="23">
        <f>E99</f>
        <v>0</v>
      </c>
      <c r="F105" s="23">
        <f>ROUND($F$10,4)</f>
        <v>0.2927</v>
      </c>
      <c r="G105" s="23">
        <f t="shared" si="9"/>
        <v>0.4056</v>
      </c>
      <c r="I105" s="24">
        <v>2.1375</v>
      </c>
    </row>
    <row r="106" spans="1:9" ht="12.75">
      <c r="A106" s="16" t="s">
        <v>73</v>
      </c>
      <c r="B106" s="24">
        <v>0.025</v>
      </c>
      <c r="C106" s="23">
        <f>ROUND(I106*RAW!$K$19,4)</f>
        <v>0</v>
      </c>
      <c r="D106" s="19"/>
      <c r="E106" s="19"/>
      <c r="F106" s="23">
        <f>F104/32*3</f>
        <v>0.0034312500000000003</v>
      </c>
      <c r="G106" s="23">
        <f t="shared" si="9"/>
        <v>0.0034</v>
      </c>
      <c r="I106" s="24">
        <v>0.025049</v>
      </c>
    </row>
    <row r="107" spans="1:9" ht="12.75">
      <c r="A107" s="16" t="s">
        <v>74</v>
      </c>
      <c r="B107" s="24">
        <v>0.0334</v>
      </c>
      <c r="C107" s="23">
        <f>ROUND(I107*RAW!$K$19,4)</f>
        <v>0</v>
      </c>
      <c r="D107" s="19"/>
      <c r="E107" s="19"/>
      <c r="F107" s="23">
        <f>F104/8</f>
        <v>0.004575</v>
      </c>
      <c r="G107" s="23">
        <f t="shared" si="9"/>
        <v>0.0046</v>
      </c>
      <c r="I107" s="24">
        <v>0.033399</v>
      </c>
    </row>
    <row r="108" spans="1:9" ht="12.75">
      <c r="A108" s="16" t="s">
        <v>75</v>
      </c>
      <c r="B108" s="24">
        <v>0.0501</v>
      </c>
      <c r="C108" s="23">
        <f>ROUND(I108*RAW!$K$19,4)</f>
        <v>0</v>
      </c>
      <c r="D108" s="19"/>
      <c r="E108" s="19"/>
      <c r="F108" s="23">
        <f>F104/16*3</f>
        <v>0.0068625000000000005</v>
      </c>
      <c r="G108" s="23">
        <f t="shared" si="9"/>
        <v>0.0069</v>
      </c>
      <c r="I108" s="24">
        <v>0.050098</v>
      </c>
    </row>
    <row r="109" spans="1:7" ht="13.5" thickBot="1">
      <c r="A109" s="118"/>
      <c r="B109" s="119"/>
      <c r="C109" s="120"/>
      <c r="D109" s="109"/>
      <c r="E109" s="109"/>
      <c r="F109" s="120"/>
      <c r="G109" s="120"/>
    </row>
    <row r="110" spans="1:2" ht="14.25" thickBot="1" thickTop="1">
      <c r="A110" s="15" t="s">
        <v>76</v>
      </c>
      <c r="B110" s="25"/>
    </row>
    <row r="111" spans="1:7" ht="13.5" thickTop="1">
      <c r="A111" s="17" t="s">
        <v>67</v>
      </c>
      <c r="B111" s="24">
        <f>B112*2</f>
        <v>4.24</v>
      </c>
      <c r="C111" s="23">
        <f>ROUND(B111*RAW!$K$21,4)</f>
        <v>0</v>
      </c>
      <c r="D111" s="23">
        <f>INPUT!$B$14</f>
        <v>0</v>
      </c>
      <c r="E111" s="23">
        <f>E112*2</f>
        <v>0</v>
      </c>
      <c r="F111" s="19">
        <f>+F112*2</f>
        <v>0.5854</v>
      </c>
      <c r="G111" s="23">
        <f aca="true" t="shared" si="10" ref="G111:G118">ROUND(SUM(C111:F111),4)</f>
        <v>0.5854</v>
      </c>
    </row>
    <row r="112" spans="1:7" ht="12.75">
      <c r="A112" s="16" t="s">
        <v>12</v>
      </c>
      <c r="B112" s="24">
        <v>2.12</v>
      </c>
      <c r="C112" s="23">
        <f>ROUND(B112*RAW!$K$21,4)</f>
        <v>0</v>
      </c>
      <c r="D112" s="23">
        <f>INPUT!$B$15</f>
        <v>0</v>
      </c>
      <c r="E112" s="23">
        <f>INPUT!B$34</f>
        <v>0</v>
      </c>
      <c r="F112" s="19">
        <f>INPUT!$B$29</f>
        <v>0.2927</v>
      </c>
      <c r="G112" s="23">
        <f t="shared" si="10"/>
        <v>0.2927</v>
      </c>
    </row>
    <row r="113" spans="1:7" ht="12.75">
      <c r="A113" s="16" t="s">
        <v>13</v>
      </c>
      <c r="B113" s="24">
        <f>B112/2</f>
        <v>1.06</v>
      </c>
      <c r="C113" s="23">
        <f>ROUND(B113*RAW!$K$21,4)</f>
        <v>0</v>
      </c>
      <c r="D113" s="23">
        <f>INPUT!$B$16</f>
        <v>0</v>
      </c>
      <c r="E113" s="23">
        <f>ROUND(E112/2,4)</f>
        <v>0</v>
      </c>
      <c r="F113" s="19">
        <f>ROUND($F$10/2,4)</f>
        <v>0.1464</v>
      </c>
      <c r="G113" s="23">
        <f t="shared" si="10"/>
        <v>0.1464</v>
      </c>
    </row>
    <row r="114" spans="1:7" ht="12.75">
      <c r="A114" s="16" t="s">
        <v>189</v>
      </c>
      <c r="B114" s="24">
        <f>B115/10*12</f>
        <v>0.795</v>
      </c>
      <c r="C114" s="23">
        <f>ROUND(B114*RAW!$K$21,4)</f>
        <v>0</v>
      </c>
      <c r="D114" s="23">
        <f>INPUT!$B$17</f>
        <v>0.0367</v>
      </c>
      <c r="E114" s="23">
        <f>ROUND(E112/32*12,4)</f>
        <v>0</v>
      </c>
      <c r="F114" s="19">
        <f>ROUND($F$10/32*12,4)</f>
        <v>0.1098</v>
      </c>
      <c r="G114" s="23">
        <f t="shared" si="10"/>
        <v>0.1465</v>
      </c>
    </row>
    <row r="115" spans="1:7" ht="12.75">
      <c r="A115" s="16" t="s">
        <v>68</v>
      </c>
      <c r="B115" s="24">
        <f>B112/32*10</f>
        <v>0.6625000000000001</v>
      </c>
      <c r="C115" s="23">
        <f>ROUND(B115*RAW!$K$21,4)</f>
        <v>0</v>
      </c>
      <c r="D115" s="23">
        <f>INPUT!$B$18</f>
        <v>0.0544</v>
      </c>
      <c r="E115" s="23">
        <f>ROUND(E112/32*10,4)</f>
        <v>0</v>
      </c>
      <c r="F115" s="19">
        <f>ROUND($F$10/32*10,4)</f>
        <v>0.0915</v>
      </c>
      <c r="G115" s="23">
        <f t="shared" si="10"/>
        <v>0.1459</v>
      </c>
    </row>
    <row r="116" spans="1:7" ht="12.75">
      <c r="A116" s="16" t="s">
        <v>69</v>
      </c>
      <c r="B116" s="24">
        <f>B113/2</f>
        <v>0.53</v>
      </c>
      <c r="C116" s="23">
        <f>ROUND(B116*RAW!$K$21,4)</f>
        <v>0</v>
      </c>
      <c r="D116" s="23">
        <f>INPUT!$B$19</f>
        <v>0</v>
      </c>
      <c r="E116" s="23">
        <f>ROUND(E112/4,4)</f>
        <v>0</v>
      </c>
      <c r="F116" s="19">
        <f>ROUND($F$10/4,4)</f>
        <v>0.0732</v>
      </c>
      <c r="G116" s="23">
        <f t="shared" si="10"/>
        <v>0.0732</v>
      </c>
    </row>
    <row r="117" spans="1:7" ht="12.75">
      <c r="A117" s="16" t="s">
        <v>70</v>
      </c>
      <c r="B117" s="24">
        <f>B116/2</f>
        <v>0.265</v>
      </c>
      <c r="C117" s="23">
        <f>ROUND(B117*RAW!$K$21,4)</f>
        <v>0</v>
      </c>
      <c r="D117" s="23">
        <f>INPUT!$B$21</f>
        <v>0.028</v>
      </c>
      <c r="E117" s="23">
        <f>ROUND(E112/32*4,4)</f>
        <v>0</v>
      </c>
      <c r="F117" s="19">
        <f>ROUND($F$10/8,4)</f>
        <v>0.0366</v>
      </c>
      <c r="G117" s="23">
        <f t="shared" si="10"/>
        <v>0.0646</v>
      </c>
    </row>
    <row r="118" spans="1:7" ht="13.5" thickBot="1">
      <c r="A118" s="18" t="s">
        <v>71</v>
      </c>
      <c r="B118" s="24">
        <f>B112</f>
        <v>2.12</v>
      </c>
      <c r="C118" s="23">
        <f>ROUND(B118*RAW!$K$21,4)</f>
        <v>0</v>
      </c>
      <c r="D118" s="23">
        <f>INPUT!$B$22</f>
        <v>0.1129</v>
      </c>
      <c r="E118" s="23">
        <f>E112</f>
        <v>0</v>
      </c>
      <c r="F118" s="19">
        <f>ROUND($F$10,4)</f>
        <v>0.2927</v>
      </c>
      <c r="G118" s="23">
        <f t="shared" si="10"/>
        <v>0.4056</v>
      </c>
    </row>
    <row r="119" spans="1:2" ht="14.25" thickBot="1" thickTop="1">
      <c r="A119" s="15" t="s">
        <v>58</v>
      </c>
      <c r="B119" s="25"/>
    </row>
    <row r="120" spans="1:7" ht="13.5" thickTop="1">
      <c r="A120" s="17" t="s">
        <v>67</v>
      </c>
      <c r="B120" s="24">
        <v>4.205</v>
      </c>
      <c r="C120" s="23">
        <f>ROUND(B120*RAW!$K$22,4)</f>
        <v>0</v>
      </c>
      <c r="D120" s="23">
        <f>INPUT!$B$14</f>
        <v>0</v>
      </c>
      <c r="E120" s="23">
        <f>E121*2</f>
        <v>0</v>
      </c>
      <c r="F120" s="19">
        <f>+F121*2</f>
        <v>0.5854</v>
      </c>
      <c r="G120" s="23">
        <f aca="true" t="shared" si="11" ref="G120:G127">ROUND(SUM(C120:F120),4)</f>
        <v>0.5854</v>
      </c>
    </row>
    <row r="121" spans="1:7" ht="12.75">
      <c r="A121" s="16" t="s">
        <v>12</v>
      </c>
      <c r="B121" s="24">
        <v>2.1025</v>
      </c>
      <c r="C121" s="23">
        <f>ROUND(B121*RAW!$K$22,4)</f>
        <v>0</v>
      </c>
      <c r="D121" s="23">
        <f>INPUT!$B$15</f>
        <v>0</v>
      </c>
      <c r="E121" s="23">
        <f>INPUT!B$34</f>
        <v>0</v>
      </c>
      <c r="F121" s="19">
        <f>INPUT!$B$29</f>
        <v>0.2927</v>
      </c>
      <c r="G121" s="23">
        <f t="shared" si="11"/>
        <v>0.2927</v>
      </c>
    </row>
    <row r="122" spans="1:7" ht="12.75">
      <c r="A122" s="16" t="s">
        <v>13</v>
      </c>
      <c r="B122" s="24">
        <v>1.05125</v>
      </c>
      <c r="C122" s="23">
        <f>ROUND(B122*RAW!$K$22,4)</f>
        <v>0</v>
      </c>
      <c r="D122" s="23">
        <f>INPUT!$B$16</f>
        <v>0</v>
      </c>
      <c r="E122" s="23">
        <f>ROUND(E121/2,4)</f>
        <v>0</v>
      </c>
      <c r="F122" s="19">
        <f>ROUND($F$10/2,4)</f>
        <v>0.1464</v>
      </c>
      <c r="G122" s="23">
        <f t="shared" si="11"/>
        <v>0.1464</v>
      </c>
    </row>
    <row r="123" spans="1:7" ht="12.75">
      <c r="A123" s="16" t="s">
        <v>189</v>
      </c>
      <c r="B123" s="24">
        <f>ROUND(B124/10*12,4)</f>
        <v>0.7884</v>
      </c>
      <c r="C123" s="23">
        <f>ROUND(B123*RAW!$K$22,4)</f>
        <v>0</v>
      </c>
      <c r="D123" s="23">
        <f>INPUT!$B$17</f>
        <v>0.0367</v>
      </c>
      <c r="E123" s="23">
        <f>ROUND(E121/32*12,4)</f>
        <v>0</v>
      </c>
      <c r="F123" s="19">
        <f>ROUND($F$10/32*12,4)</f>
        <v>0.1098</v>
      </c>
      <c r="G123" s="23">
        <f t="shared" si="11"/>
        <v>0.1465</v>
      </c>
    </row>
    <row r="124" spans="1:7" ht="12.75">
      <c r="A124" s="16" t="s">
        <v>68</v>
      </c>
      <c r="B124" s="24">
        <v>0.657031</v>
      </c>
      <c r="C124" s="23">
        <f>ROUND(B124*RAW!$K$22,4)</f>
        <v>0</v>
      </c>
      <c r="D124" s="23">
        <f>INPUT!$B$18</f>
        <v>0.0544</v>
      </c>
      <c r="E124" s="23">
        <f>ROUND(E121/32*10,4)</f>
        <v>0</v>
      </c>
      <c r="F124" s="19">
        <f>ROUND($F$10/32*10,4)</f>
        <v>0.0915</v>
      </c>
      <c r="G124" s="23">
        <f t="shared" si="11"/>
        <v>0.1459</v>
      </c>
    </row>
    <row r="125" spans="1:7" ht="12.75">
      <c r="A125" s="16" t="s">
        <v>69</v>
      </c>
      <c r="B125" s="24">
        <v>0.525625</v>
      </c>
      <c r="C125" s="23">
        <f>ROUND(B125*RAW!$K$22,4)</f>
        <v>0</v>
      </c>
      <c r="D125" s="23">
        <f>INPUT!$B$19</f>
        <v>0</v>
      </c>
      <c r="E125" s="23">
        <f>ROUND(E121/4,4)</f>
        <v>0</v>
      </c>
      <c r="F125" s="19">
        <f>ROUND($F$10/4,4)</f>
        <v>0.0732</v>
      </c>
      <c r="G125" s="23">
        <f t="shared" si="11"/>
        <v>0.0732</v>
      </c>
    </row>
    <row r="126" spans="1:7" ht="12.75">
      <c r="A126" s="16" t="s">
        <v>70</v>
      </c>
      <c r="B126" s="24">
        <v>0.262813</v>
      </c>
      <c r="C126" s="23">
        <f>ROUND(B126*RAW!$K$22,4)</f>
        <v>0</v>
      </c>
      <c r="D126" s="23">
        <f>INPUT!$B$21</f>
        <v>0.028</v>
      </c>
      <c r="E126" s="23">
        <f>ROUND(E121/32*4,4)</f>
        <v>0</v>
      </c>
      <c r="F126" s="19">
        <f>ROUND($F$10/8,4)</f>
        <v>0.0366</v>
      </c>
      <c r="G126" s="23">
        <f t="shared" si="11"/>
        <v>0.0646</v>
      </c>
    </row>
    <row r="127" spans="1:7" ht="13.5" thickBot="1">
      <c r="A127" s="18" t="s">
        <v>71</v>
      </c>
      <c r="B127" s="24">
        <v>2.1025</v>
      </c>
      <c r="C127" s="23">
        <f>ROUND(B127*RAW!$K$22,4)</f>
        <v>0</v>
      </c>
      <c r="D127" s="23">
        <f>INPUT!$B$22</f>
        <v>0.1129</v>
      </c>
      <c r="E127" s="23">
        <f>E121</f>
        <v>0</v>
      </c>
      <c r="F127" s="19">
        <f>ROUND($F$10,4)</f>
        <v>0.2927</v>
      </c>
      <c r="G127" s="23">
        <f t="shared" si="11"/>
        <v>0.4056</v>
      </c>
    </row>
    <row r="128" spans="1:2" ht="14.25" thickBot="1" thickTop="1">
      <c r="A128" s="15" t="s">
        <v>59</v>
      </c>
      <c r="B128" s="25"/>
    </row>
    <row r="129" spans="1:7" ht="13.5" thickTop="1">
      <c r="A129" s="17" t="s">
        <v>67</v>
      </c>
      <c r="B129" s="24">
        <f>B130*2</f>
        <v>4.175</v>
      </c>
      <c r="C129" s="23">
        <f>ROUND(B129*RAW!$K$23,4)</f>
        <v>0</v>
      </c>
      <c r="D129" s="23">
        <f>INPUT!$B$14</f>
        <v>0</v>
      </c>
      <c r="E129" s="23">
        <f>E130*2</f>
        <v>0</v>
      </c>
      <c r="F129" s="19">
        <f>+F130*2</f>
        <v>0.5854</v>
      </c>
      <c r="G129" s="23">
        <f aca="true" t="shared" si="12" ref="G129:G136">ROUND(SUM(C129:F129),4)</f>
        <v>0.5854</v>
      </c>
    </row>
    <row r="130" spans="1:7" ht="12.75">
      <c r="A130" s="16" t="s">
        <v>12</v>
      </c>
      <c r="B130" s="24">
        <v>2.0875</v>
      </c>
      <c r="C130" s="23">
        <f>ROUND(B130*RAW!$K$23,4)</f>
        <v>0</v>
      </c>
      <c r="D130" s="23">
        <f>INPUT!$B$15</f>
        <v>0</v>
      </c>
      <c r="E130" s="23">
        <f>INPUT!B$34</f>
        <v>0</v>
      </c>
      <c r="F130" s="19">
        <f>INPUT!$B$29</f>
        <v>0.2927</v>
      </c>
      <c r="G130" s="23">
        <f t="shared" si="12"/>
        <v>0.2927</v>
      </c>
    </row>
    <row r="131" spans="1:7" ht="12.75">
      <c r="A131" s="16" t="s">
        <v>13</v>
      </c>
      <c r="B131" s="24">
        <f>B130/2</f>
        <v>1.04375</v>
      </c>
      <c r="C131" s="23">
        <f>ROUND(B131*RAW!$K$23,4)</f>
        <v>0</v>
      </c>
      <c r="D131" s="23">
        <f>INPUT!$B$16</f>
        <v>0</v>
      </c>
      <c r="E131" s="23">
        <f>ROUND(E130/2,4)</f>
        <v>0</v>
      </c>
      <c r="F131" s="19">
        <f>ROUND($F$10/2,4)</f>
        <v>0.1464</v>
      </c>
      <c r="G131" s="23">
        <f t="shared" si="12"/>
        <v>0.1464</v>
      </c>
    </row>
    <row r="132" spans="1:7" ht="12.75">
      <c r="A132" s="16" t="s">
        <v>189</v>
      </c>
      <c r="B132" s="24">
        <f>ROUND(B133/10*12,4)</f>
        <v>0.7828</v>
      </c>
      <c r="C132" s="23">
        <f>ROUND(B132*RAW!$K$23,4)</f>
        <v>0</v>
      </c>
      <c r="D132" s="23">
        <f>INPUT!$B$17</f>
        <v>0.0367</v>
      </c>
      <c r="E132" s="23">
        <f>ROUND(E130/32*12,4)</f>
        <v>0</v>
      </c>
      <c r="F132" s="19">
        <f>ROUND($F$10/32*12,4)</f>
        <v>0.1098</v>
      </c>
      <c r="G132" s="23">
        <f t="shared" si="12"/>
        <v>0.1465</v>
      </c>
    </row>
    <row r="133" spans="1:7" ht="12.75">
      <c r="A133" s="16" t="s">
        <v>68</v>
      </c>
      <c r="B133" s="24">
        <f>ROUND(B130/32*10,4)</f>
        <v>0.6523</v>
      </c>
      <c r="C133" s="23">
        <f>ROUND(B133*RAW!$K$23,4)</f>
        <v>0</v>
      </c>
      <c r="D133" s="23">
        <f>INPUT!$B$18</f>
        <v>0.0544</v>
      </c>
      <c r="E133" s="23">
        <f>ROUND(E130/32*10,4)</f>
        <v>0</v>
      </c>
      <c r="F133" s="19">
        <f>ROUND($F$10/32*10,4)</f>
        <v>0.0915</v>
      </c>
      <c r="G133" s="23">
        <f t="shared" si="12"/>
        <v>0.1459</v>
      </c>
    </row>
    <row r="134" spans="1:7" ht="12.75">
      <c r="A134" s="16" t="s">
        <v>69</v>
      </c>
      <c r="B134" s="24">
        <f>B131/2</f>
        <v>0.521875</v>
      </c>
      <c r="C134" s="23">
        <f>ROUND(B134*RAW!$K$23,4)</f>
        <v>0</v>
      </c>
      <c r="D134" s="23">
        <f>INPUT!$B$19</f>
        <v>0</v>
      </c>
      <c r="E134" s="23">
        <f>ROUND(E130/4,4)</f>
        <v>0</v>
      </c>
      <c r="F134" s="19">
        <f>ROUND($F$10/4,4)</f>
        <v>0.0732</v>
      </c>
      <c r="G134" s="23">
        <f t="shared" si="12"/>
        <v>0.0732</v>
      </c>
    </row>
    <row r="135" spans="1:7" ht="12.75">
      <c r="A135" s="16" t="s">
        <v>70</v>
      </c>
      <c r="B135" s="24">
        <f>B134/2</f>
        <v>0.2609375</v>
      </c>
      <c r="C135" s="23">
        <f>ROUND(B135*RAW!$K$23,4)</f>
        <v>0</v>
      </c>
      <c r="D135" s="23">
        <f>INPUT!$B$21</f>
        <v>0.028</v>
      </c>
      <c r="E135" s="23">
        <f>ROUND(E130/32*4,4)</f>
        <v>0</v>
      </c>
      <c r="F135" s="19">
        <f>ROUND($F$10/8,4)</f>
        <v>0.0366</v>
      </c>
      <c r="G135" s="23">
        <f t="shared" si="12"/>
        <v>0.0646</v>
      </c>
    </row>
    <row r="136" spans="1:7" ht="13.5" thickBot="1">
      <c r="A136" s="18" t="s">
        <v>71</v>
      </c>
      <c r="B136" s="24">
        <f>B130</f>
        <v>2.0875</v>
      </c>
      <c r="C136" s="23">
        <f>ROUND(B136*RAW!$K$23,4)</f>
        <v>0</v>
      </c>
      <c r="D136" s="23">
        <f>INPUT!$B$22</f>
        <v>0.1129</v>
      </c>
      <c r="E136" s="23">
        <f>E130</f>
        <v>0</v>
      </c>
      <c r="F136" s="19">
        <f>ROUND($F$10,4)</f>
        <v>0.2927</v>
      </c>
      <c r="G136" s="23">
        <f t="shared" si="12"/>
        <v>0.4056</v>
      </c>
    </row>
    <row r="137" spans="1:2" ht="14.25" thickBot="1" thickTop="1">
      <c r="A137" s="15" t="s">
        <v>77</v>
      </c>
      <c r="B137" s="25"/>
    </row>
    <row r="138" spans="1:7" ht="13.5" thickTop="1">
      <c r="A138" s="17" t="s">
        <v>67</v>
      </c>
      <c r="B138" s="24">
        <v>4.255</v>
      </c>
      <c r="C138" s="23">
        <f>ROUND(B138*RAW!$K$20,4)</f>
        <v>0</v>
      </c>
      <c r="D138" s="23"/>
      <c r="E138" s="23">
        <f>E139*2</f>
        <v>0</v>
      </c>
      <c r="F138" s="19">
        <f>+F139*2</f>
        <v>0.5854</v>
      </c>
      <c r="G138" s="23">
        <f aca="true" t="shared" si="13" ref="G138:G145">ROUND(SUM(C138:F138),4)</f>
        <v>0.5854</v>
      </c>
    </row>
    <row r="139" spans="1:7" ht="12.75">
      <c r="A139" s="16" t="s">
        <v>12</v>
      </c>
      <c r="B139" s="24">
        <v>2.1275</v>
      </c>
      <c r="C139" s="23">
        <f>ROUND(B139*RAW!$K$20,4)</f>
        <v>0</v>
      </c>
      <c r="D139" s="23"/>
      <c r="E139" s="23">
        <f>INPUT!B$34</f>
        <v>0</v>
      </c>
      <c r="F139" s="19">
        <f>INPUT!$B$29</f>
        <v>0.2927</v>
      </c>
      <c r="G139" s="23">
        <f t="shared" si="13"/>
        <v>0.2927</v>
      </c>
    </row>
    <row r="140" spans="1:7" ht="12.75">
      <c r="A140" s="16" t="s">
        <v>13</v>
      </c>
      <c r="B140" s="24">
        <v>1.06375</v>
      </c>
      <c r="C140" s="23">
        <f>ROUND(B140*RAW!$K$20,4)</f>
        <v>0</v>
      </c>
      <c r="D140" s="23"/>
      <c r="E140" s="23">
        <f>ROUND(E139/2,4)</f>
        <v>0</v>
      </c>
      <c r="F140" s="19">
        <f>ROUND($F$10/2,4)</f>
        <v>0.1464</v>
      </c>
      <c r="G140" s="23">
        <f t="shared" si="13"/>
        <v>0.1464</v>
      </c>
    </row>
    <row r="141" spans="1:7" ht="12.75">
      <c r="A141" s="16" t="s">
        <v>189</v>
      </c>
      <c r="B141" s="24">
        <f>B142/10*12</f>
        <v>0.7978128</v>
      </c>
      <c r="C141" s="23">
        <f>ROUND(B141*RAW!$K$20,4)</f>
        <v>0</v>
      </c>
      <c r="D141" s="23"/>
      <c r="E141" s="23">
        <f>ROUND(E139/32*12,4)</f>
        <v>0</v>
      </c>
      <c r="F141" s="19">
        <f>ROUND($F$10/32*12,4)</f>
        <v>0.1098</v>
      </c>
      <c r="G141" s="23">
        <f t="shared" si="13"/>
        <v>0.1098</v>
      </c>
    </row>
    <row r="142" spans="1:7" ht="12.75">
      <c r="A142" s="16" t="s">
        <v>68</v>
      </c>
      <c r="B142" s="24">
        <v>0.664844</v>
      </c>
      <c r="C142" s="23">
        <f>ROUND(B142*RAW!$K$20,4)</f>
        <v>0</v>
      </c>
      <c r="D142" s="23"/>
      <c r="E142" s="23">
        <f>ROUND(E139/32*10,4)</f>
        <v>0</v>
      </c>
      <c r="F142" s="19">
        <f>ROUND($F$10/32*10,4)</f>
        <v>0.0915</v>
      </c>
      <c r="G142" s="23">
        <f t="shared" si="13"/>
        <v>0.0915</v>
      </c>
    </row>
    <row r="143" spans="1:7" ht="12.75">
      <c r="A143" s="16" t="s">
        <v>69</v>
      </c>
      <c r="B143" s="24">
        <v>0.531875</v>
      </c>
      <c r="C143" s="23">
        <f>ROUND(B143*RAW!$K$20,4)</f>
        <v>0</v>
      </c>
      <c r="D143" s="23"/>
      <c r="E143" s="23">
        <f>ROUND(E139/4,4)</f>
        <v>0</v>
      </c>
      <c r="F143" s="19">
        <f>ROUND($F$10/4,4)</f>
        <v>0.0732</v>
      </c>
      <c r="G143" s="23">
        <f t="shared" si="13"/>
        <v>0.0732</v>
      </c>
    </row>
    <row r="144" spans="1:7" ht="12.75">
      <c r="A144" s="16" t="s">
        <v>70</v>
      </c>
      <c r="B144" s="24">
        <v>0.265938</v>
      </c>
      <c r="C144" s="23">
        <f>ROUND(B144*RAW!$K$20,4)</f>
        <v>0</v>
      </c>
      <c r="D144" s="23"/>
      <c r="E144" s="23">
        <f>ROUND(E139/32*4,4)</f>
        <v>0</v>
      </c>
      <c r="F144" s="19">
        <f>ROUND($F$10/8,4)</f>
        <v>0.0366</v>
      </c>
      <c r="G144" s="23">
        <f t="shared" si="13"/>
        <v>0.0366</v>
      </c>
    </row>
    <row r="145" spans="1:7" ht="12.75">
      <c r="A145" s="16" t="s">
        <v>71</v>
      </c>
      <c r="B145" s="24">
        <v>2.1275</v>
      </c>
      <c r="C145" s="23">
        <f>ROUND(B145*RAW!$K$20,4)</f>
        <v>0</v>
      </c>
      <c r="D145" s="23"/>
      <c r="E145" s="23">
        <f>E139</f>
        <v>0</v>
      </c>
      <c r="F145" s="19">
        <f>ROUND($F$10,4)</f>
        <v>0.2927</v>
      </c>
      <c r="G145" s="23">
        <f t="shared" si="13"/>
        <v>0.2927</v>
      </c>
    </row>
  </sheetData>
  <sheetProtection/>
  <printOptions horizontalCentered="1"/>
  <pageMargins left="0.75" right="0.75" top="1" bottom="1" header="0.5" footer="0.5"/>
  <pageSetup horizontalDpi="300" verticalDpi="300" orientation="portrait" scale="82" r:id="rId1"/>
  <rowBreaks count="1" manualBreakCount="1">
    <brk id="6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1"/>
  <sheetViews>
    <sheetView zoomScale="75" zoomScaleNormal="75" zoomScalePageLayoutView="0" workbookViewId="0" topLeftCell="A4">
      <pane xSplit="1" ySplit="4" topLeftCell="B8" activePane="bottomRight" state="frozen"/>
      <selection pane="topLeft" activeCell="A4" sqref="A4"/>
      <selection pane="topRight" activeCell="B4" sqref="B4"/>
      <selection pane="bottomLeft" activeCell="A8" sqref="A8"/>
      <selection pane="bottomRight" activeCell="J13" sqref="J13"/>
    </sheetView>
  </sheetViews>
  <sheetFormatPr defaultColWidth="9.140625" defaultRowHeight="12.75"/>
  <cols>
    <col min="1" max="1" width="15.8515625" style="0" customWidth="1"/>
    <col min="2" max="2" width="12.57421875" style="0" customWidth="1"/>
    <col min="3" max="3" width="16.140625" style="32" customWidth="1"/>
    <col min="4" max="5" width="13.57421875" style="0" customWidth="1"/>
    <col min="6" max="6" width="16.421875" style="32" customWidth="1"/>
    <col min="7" max="7" width="9.8515625" style="32" customWidth="1"/>
    <col min="8" max="8" width="10.8515625" style="32" customWidth="1"/>
    <col min="9" max="9" width="11.8515625" style="32" customWidth="1"/>
    <col min="10" max="10" width="13.28125" style="32" customWidth="1"/>
    <col min="11" max="11" width="12.57421875" style="32" customWidth="1"/>
    <col min="12" max="12" width="12.8515625" style="98" customWidth="1"/>
    <col min="13" max="13" width="5.7109375" style="0" hidden="1" customWidth="1"/>
    <col min="14" max="14" width="0.9921875" style="0" customWidth="1"/>
    <col min="15" max="15" width="14.140625" style="0" customWidth="1"/>
    <col min="16" max="16" width="10.00390625" style="0" customWidth="1"/>
    <col min="17" max="17" width="14.8515625" style="0" hidden="1" customWidth="1"/>
    <col min="18" max="18" width="16.28125" style="146" hidden="1" customWidth="1"/>
    <col min="19" max="19" width="16.421875" style="150" hidden="1" customWidth="1"/>
    <col min="20" max="20" width="11.00390625" style="0" customWidth="1"/>
  </cols>
  <sheetData>
    <row r="1" spans="1:16" ht="12.75">
      <c r="A1" s="26" t="s">
        <v>43</v>
      </c>
      <c r="B1" s="26"/>
      <c r="C1" s="90"/>
      <c r="D1" s="26"/>
      <c r="E1" s="26"/>
      <c r="F1" s="90"/>
      <c r="G1" s="90"/>
      <c r="H1" s="90"/>
      <c r="I1" s="90"/>
      <c r="J1" s="90"/>
      <c r="K1" s="90"/>
      <c r="L1" s="95"/>
      <c r="M1" s="103"/>
      <c r="N1" s="103"/>
      <c r="O1" s="103"/>
      <c r="P1" s="103"/>
    </row>
    <row r="2" spans="1:19" ht="12.75">
      <c r="A2" s="26" t="s">
        <v>78</v>
      </c>
      <c r="B2" s="26"/>
      <c r="C2" s="90"/>
      <c r="D2" s="26"/>
      <c r="E2" s="26"/>
      <c r="F2" s="90"/>
      <c r="G2" s="90"/>
      <c r="H2" s="90"/>
      <c r="I2" s="90"/>
      <c r="J2" s="90"/>
      <c r="K2" s="90"/>
      <c r="L2" s="95"/>
      <c r="M2" s="103"/>
      <c r="N2" s="103"/>
      <c r="O2" s="103"/>
      <c r="P2" s="103"/>
      <c r="S2" s="150" t="s">
        <v>8</v>
      </c>
    </row>
    <row r="3" spans="1:18" ht="13.5" thickBot="1">
      <c r="A3" s="167">
        <f>INPUT!B3</f>
        <v>0</v>
      </c>
      <c r="B3" s="26"/>
      <c r="C3" s="90"/>
      <c r="D3" s="26"/>
      <c r="E3" s="26"/>
      <c r="F3" s="90"/>
      <c r="G3" s="90"/>
      <c r="H3" s="90"/>
      <c r="I3" s="90"/>
      <c r="J3" s="90"/>
      <c r="K3" s="90"/>
      <c r="L3" s="95"/>
      <c r="M3" s="103"/>
      <c r="N3" s="103"/>
      <c r="O3" s="103"/>
      <c r="P3" s="103"/>
      <c r="R3" s="147"/>
    </row>
    <row r="4" spans="1:20" ht="24" thickTop="1">
      <c r="A4" s="136"/>
      <c r="B4" s="13">
        <v>1</v>
      </c>
      <c r="C4" s="93">
        <v>2</v>
      </c>
      <c r="D4" s="13">
        <v>3</v>
      </c>
      <c r="E4" s="13"/>
      <c r="F4" s="93">
        <v>4</v>
      </c>
      <c r="G4" s="93">
        <v>5</v>
      </c>
      <c r="H4" s="93">
        <v>6</v>
      </c>
      <c r="I4" s="93">
        <v>7</v>
      </c>
      <c r="J4" s="93">
        <v>8</v>
      </c>
      <c r="K4" s="93">
        <v>9</v>
      </c>
      <c r="L4" s="203">
        <v>10</v>
      </c>
      <c r="N4" s="13">
        <v>11</v>
      </c>
      <c r="O4" s="13">
        <v>11</v>
      </c>
      <c r="P4" s="203">
        <v>12</v>
      </c>
      <c r="Q4" s="13">
        <v>13</v>
      </c>
      <c r="R4" s="148" t="s">
        <v>79</v>
      </c>
      <c r="S4" s="151" t="s">
        <v>80</v>
      </c>
      <c r="T4" s="13">
        <v>13</v>
      </c>
    </row>
    <row r="5" spans="1:20" ht="12.75">
      <c r="A5" t="s">
        <v>8</v>
      </c>
      <c r="B5" s="27" t="s">
        <v>81</v>
      </c>
      <c r="C5" s="91" t="s">
        <v>82</v>
      </c>
      <c r="D5" s="27" t="s">
        <v>83</v>
      </c>
      <c r="E5" s="91" t="s">
        <v>177</v>
      </c>
      <c r="G5" s="91"/>
      <c r="H5" s="94">
        <f>INPUT!B54</f>
        <v>0.034</v>
      </c>
      <c r="I5" s="91" t="s">
        <v>84</v>
      </c>
      <c r="J5" s="91" t="s">
        <v>81</v>
      </c>
      <c r="K5" s="91" t="s">
        <v>83</v>
      </c>
      <c r="L5" s="204"/>
      <c r="N5" s="132">
        <v>36586</v>
      </c>
      <c r="O5" s="132" t="s">
        <v>163</v>
      </c>
      <c r="P5" s="204" t="s">
        <v>93</v>
      </c>
      <c r="Q5" s="135">
        <f>N5</f>
        <v>36586</v>
      </c>
      <c r="R5" s="148" t="s">
        <v>85</v>
      </c>
      <c r="S5" s="152" t="s">
        <v>85</v>
      </c>
      <c r="T5" s="27" t="s">
        <v>163</v>
      </c>
    </row>
    <row r="6" spans="2:20" ht="12.75">
      <c r="B6" s="27" t="s">
        <v>86</v>
      </c>
      <c r="C6" s="91" t="s">
        <v>87</v>
      </c>
      <c r="D6" s="27" t="s">
        <v>63</v>
      </c>
      <c r="E6" s="91" t="s">
        <v>178</v>
      </c>
      <c r="G6" s="91" t="s">
        <v>88</v>
      </c>
      <c r="H6" s="91" t="s">
        <v>89</v>
      </c>
      <c r="I6" s="91" t="s">
        <v>90</v>
      </c>
      <c r="J6" s="91" t="s">
        <v>91</v>
      </c>
      <c r="K6" s="91" t="s">
        <v>91</v>
      </c>
      <c r="L6" s="204" t="s">
        <v>92</v>
      </c>
      <c r="N6" s="96" t="s">
        <v>92</v>
      </c>
      <c r="O6" s="96" t="s">
        <v>92</v>
      </c>
      <c r="P6" s="204" t="s">
        <v>176</v>
      </c>
      <c r="Q6" s="128" t="s">
        <v>93</v>
      </c>
      <c r="R6" s="148" t="s">
        <v>94</v>
      </c>
      <c r="S6" s="152" t="s">
        <v>95</v>
      </c>
      <c r="T6" s="28" t="s">
        <v>93</v>
      </c>
    </row>
    <row r="7" spans="2:20" ht="13.5" thickBot="1">
      <c r="B7" s="14" t="s">
        <v>52</v>
      </c>
      <c r="C7" s="92" t="s">
        <v>51</v>
      </c>
      <c r="D7" s="14" t="s">
        <v>96</v>
      </c>
      <c r="E7" s="14"/>
      <c r="F7" s="92" t="s">
        <v>179</v>
      </c>
      <c r="G7" s="92" t="s">
        <v>84</v>
      </c>
      <c r="H7" s="92" t="s">
        <v>97</v>
      </c>
      <c r="I7" s="92" t="s">
        <v>89</v>
      </c>
      <c r="J7" s="92" t="s">
        <v>96</v>
      </c>
      <c r="K7" s="92" t="s">
        <v>96</v>
      </c>
      <c r="L7" s="205" t="s">
        <v>84</v>
      </c>
      <c r="N7" s="97" t="s">
        <v>84</v>
      </c>
      <c r="O7" s="97" t="s">
        <v>84</v>
      </c>
      <c r="P7" s="213">
        <f>INPUT!B56</f>
        <v>0.027</v>
      </c>
      <c r="Q7" s="102" t="s">
        <v>84</v>
      </c>
      <c r="R7" s="149" t="s">
        <v>8</v>
      </c>
      <c r="S7" s="153" t="s">
        <v>8</v>
      </c>
      <c r="T7" s="102" t="s">
        <v>84</v>
      </c>
    </row>
    <row r="8" spans="2:20" ht="13.5" thickTop="1">
      <c r="B8" s="105"/>
      <c r="C8" s="106"/>
      <c r="D8" s="105"/>
      <c r="E8" s="105"/>
      <c r="F8" s="106"/>
      <c r="G8" s="106"/>
      <c r="H8" s="106"/>
      <c r="I8" s="106"/>
      <c r="J8" s="106"/>
      <c r="K8" s="106"/>
      <c r="L8" s="107" t="s">
        <v>8</v>
      </c>
      <c r="N8" t="s">
        <v>8</v>
      </c>
      <c r="P8" s="107"/>
      <c r="S8" s="150" t="s">
        <v>8</v>
      </c>
      <c r="T8" s="108"/>
    </row>
    <row r="9" spans="1:18" ht="13.5" thickBot="1">
      <c r="A9" s="104" t="s">
        <v>18</v>
      </c>
      <c r="B9" s="32"/>
      <c r="P9" s="98"/>
      <c r="R9" s="146" t="s">
        <v>8</v>
      </c>
    </row>
    <row r="10" spans="1:21" ht="14.25" thickBot="1" thickTop="1">
      <c r="A10" s="15" t="s">
        <v>10</v>
      </c>
      <c r="B10" s="87">
        <f>'CNTNR COST'!G8</f>
        <v>1.2138</v>
      </c>
      <c r="C10" s="30">
        <v>0</v>
      </c>
      <c r="D10" s="30">
        <v>-0.0936</v>
      </c>
      <c r="E10" s="30">
        <f>ROUND($E$12*4,4)</f>
        <v>0</v>
      </c>
      <c r="F10" s="30">
        <f>ROUND($F$12*4,4)</f>
        <v>0.0568</v>
      </c>
      <c r="G10" s="30">
        <f>ROUND(SUM(B10:F10),4)</f>
        <v>1.177</v>
      </c>
      <c r="H10" s="30">
        <f aca="true" t="shared" si="0" ref="H10:H18">ROUND((G10/(1-$H$5))-G10,4)</f>
        <v>0.0414</v>
      </c>
      <c r="I10" s="30">
        <f>ROUND(G10+H10,4)</f>
        <v>1.2184</v>
      </c>
      <c r="J10" s="30">
        <f>ROUND(J12*4,4)</f>
        <v>-0.564</v>
      </c>
      <c r="K10" s="30">
        <f>ROUND(K12*4,4)</f>
        <v>0.9864</v>
      </c>
      <c r="L10" s="206">
        <f>ROUND(SUM(I10:K10),4)</f>
        <v>1.6408</v>
      </c>
      <c r="M10">
        <v>0.04</v>
      </c>
      <c r="N10" s="99">
        <v>2.3278</v>
      </c>
      <c r="O10" s="99">
        <v>2.9002</v>
      </c>
      <c r="P10" s="209">
        <f>ROUND((L10*(1-MAX_DISC)+(4*HANDLING_ADJ))/(1-RETIAL_PRFT),2)</f>
        <v>1.48</v>
      </c>
      <c r="Q10" s="129">
        <v>2.42</v>
      </c>
      <c r="R10" s="146">
        <f>L10-N10</f>
        <v>-0.6869999999999998</v>
      </c>
      <c r="S10" s="150">
        <f aca="true" t="shared" si="1" ref="S10:S18">P10-Q10</f>
        <v>-0.94</v>
      </c>
      <c r="T10" s="154">
        <v>2.99</v>
      </c>
      <c r="U10" t="s">
        <v>8</v>
      </c>
    </row>
    <row r="11" spans="1:20" ht="14.25" thickBot="1" thickTop="1">
      <c r="A11" s="15" t="s">
        <v>67</v>
      </c>
      <c r="B11" s="88">
        <f>'CNTNR COST'!G9</f>
        <v>0.6069</v>
      </c>
      <c r="C11" s="23">
        <v>0</v>
      </c>
      <c r="D11" s="23">
        <v>-0.0324</v>
      </c>
      <c r="E11" s="23">
        <f>ROUND($E$12*2,4)</f>
        <v>0</v>
      </c>
      <c r="F11" s="23">
        <f>ROUND($F$12*2,4)</f>
        <v>0.0284</v>
      </c>
      <c r="G11" s="23">
        <f aca="true" t="shared" si="2" ref="G11:G18">ROUND(SUM(B11:F11),4)</f>
        <v>0.6029</v>
      </c>
      <c r="H11" s="23">
        <f t="shared" si="0"/>
        <v>0.0212</v>
      </c>
      <c r="I11" s="23">
        <f aca="true" t="shared" si="3" ref="I11:I18">ROUND(G11+H11,4)</f>
        <v>0.6241</v>
      </c>
      <c r="J11" s="23">
        <f>ROUND(J12*2,4)</f>
        <v>-0.282</v>
      </c>
      <c r="K11" s="23">
        <f>ROUND(K12*2,4)</f>
        <v>0.4932</v>
      </c>
      <c r="L11" s="207">
        <f>ROUND(SUM(I11:K11),4)</f>
        <v>0.8353</v>
      </c>
      <c r="M11">
        <f>M10/2</f>
        <v>0.02</v>
      </c>
      <c r="N11" s="100">
        <v>1.1957</v>
      </c>
      <c r="O11" s="100">
        <v>1.4832</v>
      </c>
      <c r="P11" s="210">
        <f>IF(ROUND((L11*(1-MAX_DISC)+(2*HANDLING_ADJ))/(1-RETIAL_PRFT),2)&lt;=L11,ROUND(L11+0.01,2),ROUND((L11*(1-MAX_DISC)+(2*HANDLING_ADJ))/(1-RETIAL_PRFT),2))</f>
        <v>0.85</v>
      </c>
      <c r="Q11" s="130">
        <v>1.24</v>
      </c>
      <c r="R11" s="146">
        <f aca="true" t="shared" si="4" ref="R11:R18">L11-N11</f>
        <v>-0.36039999999999994</v>
      </c>
      <c r="S11" s="150">
        <f t="shared" si="1"/>
        <v>-0.39</v>
      </c>
      <c r="T11" s="155">
        <v>1.53</v>
      </c>
    </row>
    <row r="12" spans="1:20" ht="14.25" thickBot="1" thickTop="1">
      <c r="A12" s="15" t="s">
        <v>12</v>
      </c>
      <c r="B12" s="88">
        <f>'CNTNR COST'!G10</f>
        <v>0.3035</v>
      </c>
      <c r="C12" s="23">
        <v>0</v>
      </c>
      <c r="D12" s="23">
        <v>0.0264</v>
      </c>
      <c r="E12" s="23">
        <f>ROUND(ENERGY_ADDON,4)</f>
        <v>0</v>
      </c>
      <c r="F12" s="23">
        <f>ROUND(COST_UPDATE_ADJ,4)</f>
        <v>0.0142</v>
      </c>
      <c r="G12" s="23">
        <f t="shared" si="2"/>
        <v>0.3441</v>
      </c>
      <c r="H12" s="23">
        <f t="shared" si="0"/>
        <v>0.0121</v>
      </c>
      <c r="I12" s="23">
        <f t="shared" si="3"/>
        <v>0.3562</v>
      </c>
      <c r="J12" s="23">
        <v>-0.141</v>
      </c>
      <c r="K12" s="23">
        <f>+INPUT!B74</f>
        <v>0.2466</v>
      </c>
      <c r="L12" s="207">
        <f aca="true" t="shared" si="5" ref="L12:L18">ROUND(SUM(I12:K12),4)</f>
        <v>0.4618</v>
      </c>
      <c r="M12">
        <f>M11/2</f>
        <v>0.01</v>
      </c>
      <c r="N12" s="100">
        <v>0.6115</v>
      </c>
      <c r="O12" s="100">
        <v>0.7961</v>
      </c>
      <c r="P12" s="210">
        <f>IF(ROUND((L12*(1-MAX_DISC)+HANDLING_ADJ)/(1-RETIAL_PRFT),2)&lt;=L12,ROUND(L12+0.01,2),ROUND((L12*(1-MAX_DISC)++HANDLING_ADJ)/(1-RETIAL_PRFT),2))</f>
        <v>0.47</v>
      </c>
      <c r="Q12" s="130">
        <v>0.63</v>
      </c>
      <c r="R12" s="146">
        <f t="shared" si="4"/>
        <v>-0.14970000000000006</v>
      </c>
      <c r="S12" s="150">
        <f t="shared" si="1"/>
        <v>-0.16000000000000003</v>
      </c>
      <c r="T12" s="155">
        <v>0.81</v>
      </c>
    </row>
    <row r="13" spans="1:20" ht="14.25" thickBot="1" thickTop="1">
      <c r="A13" s="15" t="s">
        <v>13</v>
      </c>
      <c r="B13" s="88">
        <f>'CNTNR COST'!G11</f>
        <v>0.1518</v>
      </c>
      <c r="C13" s="23">
        <v>0</v>
      </c>
      <c r="D13" s="23">
        <v>0.0249</v>
      </c>
      <c r="E13" s="23">
        <f>ROUND($E$12/2,4)</f>
        <v>0</v>
      </c>
      <c r="F13" s="23">
        <f>ROUND($F$12/2,4)</f>
        <v>0.0071</v>
      </c>
      <c r="G13" s="23">
        <f t="shared" si="2"/>
        <v>0.1838</v>
      </c>
      <c r="H13" s="23">
        <f t="shared" si="0"/>
        <v>0.0065</v>
      </c>
      <c r="I13" s="23">
        <f t="shared" si="3"/>
        <v>0.1903</v>
      </c>
      <c r="J13" s="23">
        <f>ROUND(J12/2,4)</f>
        <v>-0.0705</v>
      </c>
      <c r="K13" s="23">
        <f>ROUND(K12/2,4)</f>
        <v>0.1233</v>
      </c>
      <c r="L13" s="207">
        <f t="shared" si="5"/>
        <v>0.2431</v>
      </c>
      <c r="M13">
        <f>M12/2</f>
        <v>0.005</v>
      </c>
      <c r="N13" s="100">
        <v>0.3252</v>
      </c>
      <c r="O13" s="100">
        <v>0.4576</v>
      </c>
      <c r="P13" s="210">
        <f>IF(ROUND((L13*(1-MAX_DISC)+(HANDLING_ADJ/2))/(1-RETIAL_PRFT),2)&lt;=L13,ROUND(L13+0.01,2),ROUND((L13*(1-MAX_DISC)+(HANDLING_ADJ/2))/(1-RETIAL_PRFT),2))</f>
        <v>0.25</v>
      </c>
      <c r="Q13" s="130">
        <v>0.34</v>
      </c>
      <c r="R13" s="146">
        <f t="shared" si="4"/>
        <v>-0.08209999999999998</v>
      </c>
      <c r="S13" s="150">
        <f t="shared" si="1"/>
        <v>-0.09000000000000002</v>
      </c>
      <c r="T13" s="155">
        <v>0.46</v>
      </c>
    </row>
    <row r="14" spans="1:20" ht="14.25" thickBot="1" thickTop="1">
      <c r="A14" s="15" t="s">
        <v>189</v>
      </c>
      <c r="B14" s="88">
        <f>'CNTNR COST'!G12</f>
        <v>0.1505</v>
      </c>
      <c r="C14" s="23"/>
      <c r="D14" s="23">
        <v>0.0194</v>
      </c>
      <c r="E14" s="23">
        <f>ROUND($E$12/32*12,4)</f>
        <v>0</v>
      </c>
      <c r="F14" s="23">
        <f>ROUND($F$12/32*12,4)</f>
        <v>0.0053</v>
      </c>
      <c r="G14" s="23">
        <f t="shared" si="2"/>
        <v>0.1752</v>
      </c>
      <c r="H14" s="23">
        <f t="shared" si="0"/>
        <v>0.0062</v>
      </c>
      <c r="I14" s="23">
        <f t="shared" si="3"/>
        <v>0.1814</v>
      </c>
      <c r="J14" s="23">
        <f>ROUND(J12/32*12,4)</f>
        <v>-0.0529</v>
      </c>
      <c r="K14" s="23">
        <f>ROUND(K12/32*12,4)</f>
        <v>0.0925</v>
      </c>
      <c r="L14" s="207">
        <f t="shared" si="5"/>
        <v>0.221</v>
      </c>
      <c r="N14" s="100"/>
      <c r="O14" s="100"/>
      <c r="P14" s="210">
        <f>IF(ROUND((L14*(1-MAX_DISC)+(HANDLING_ADJ*0.375))/(1-RETIAL_PRFT),2)&lt;=L14,ROUND(L14+0.01,2),ROUND((L14*(1-MAX_DISC)+(HANDLING_ADJ*0.375))/(1-RETIAL_PRFT),2))</f>
        <v>0.23</v>
      </c>
      <c r="Q14" s="130"/>
      <c r="T14" s="155"/>
    </row>
    <row r="15" spans="1:20" ht="14.25" thickBot="1" thickTop="1">
      <c r="A15" s="15" t="s">
        <v>68</v>
      </c>
      <c r="B15" s="88">
        <f>'CNTNR COST'!G13</f>
        <v>0.1493</v>
      </c>
      <c r="C15" s="23">
        <v>0</v>
      </c>
      <c r="D15" s="23">
        <v>0.0139</v>
      </c>
      <c r="E15" s="23">
        <f>ROUND($E$12/32*10,4)</f>
        <v>0</v>
      </c>
      <c r="F15" s="23">
        <f>ROUND($F$12/32*10,4)</f>
        <v>0.0044</v>
      </c>
      <c r="G15" s="23">
        <f t="shared" si="2"/>
        <v>0.1676</v>
      </c>
      <c r="H15" s="23">
        <f t="shared" si="0"/>
        <v>0.0059</v>
      </c>
      <c r="I15" s="23">
        <f t="shared" si="3"/>
        <v>0.1735</v>
      </c>
      <c r="J15" s="23">
        <f>ROUND(J12/32*10,4)</f>
        <v>-0.0441</v>
      </c>
      <c r="K15" s="23">
        <f>ROUND(K12/32*10,4)</f>
        <v>0.0771</v>
      </c>
      <c r="L15" s="207">
        <f t="shared" si="5"/>
        <v>0.2065</v>
      </c>
      <c r="M15">
        <f>M12/32*10</f>
        <v>0.003125</v>
      </c>
      <c r="N15" s="100">
        <v>0.2181</v>
      </c>
      <c r="O15" s="100">
        <v>0.2589</v>
      </c>
      <c r="P15" s="210">
        <f>IF(ROUND((L15*(1-MAX_DISC)+(HANDLING_ADJ*0.3125))/(1-RETIAL_PRFT),2)&lt;=L15,ROUND(L15+0.01,2),ROUND((L15*(1-MAX_DISC)+(HANDLING_ADJ*0.3125))/(1-RETIAL_PRFT),2))</f>
        <v>0.22</v>
      </c>
      <c r="Q15" s="130">
        <v>0.22</v>
      </c>
      <c r="R15" s="146">
        <f t="shared" si="4"/>
        <v>-0.0116</v>
      </c>
      <c r="S15" s="150">
        <f t="shared" si="1"/>
        <v>0</v>
      </c>
      <c r="T15" s="155">
        <v>0.26</v>
      </c>
    </row>
    <row r="16" spans="1:20" ht="14.25" thickBot="1" thickTop="1">
      <c r="A16" s="15" t="s">
        <v>69</v>
      </c>
      <c r="B16" s="88">
        <f>'CNTNR COST'!G14</f>
        <v>0.0759</v>
      </c>
      <c r="C16" s="23">
        <v>0</v>
      </c>
      <c r="D16" s="23">
        <v>0.0139</v>
      </c>
      <c r="E16" s="23">
        <f>ROUND($E$12/4,4)</f>
        <v>0</v>
      </c>
      <c r="F16" s="23">
        <f>ROUND($F$12/4,4)</f>
        <v>0.0036</v>
      </c>
      <c r="G16" s="23">
        <f t="shared" si="2"/>
        <v>0.0934</v>
      </c>
      <c r="H16" s="23">
        <f t="shared" si="0"/>
        <v>0.0033</v>
      </c>
      <c r="I16" s="23">
        <f t="shared" si="3"/>
        <v>0.0967</v>
      </c>
      <c r="J16" s="23">
        <f>ROUND(J13/2,4)</f>
        <v>-0.0353</v>
      </c>
      <c r="K16" s="23">
        <f>ROUND(K12/4,4)</f>
        <v>0.0617</v>
      </c>
      <c r="L16" s="207">
        <f t="shared" si="5"/>
        <v>0.1231</v>
      </c>
      <c r="M16">
        <f>M13/2</f>
        <v>0.0025</v>
      </c>
      <c r="N16" s="100">
        <v>0.1777</v>
      </c>
      <c r="O16" s="100">
        <v>0.2077</v>
      </c>
      <c r="P16" s="210">
        <f>IF(ROUND((L16*(1-MAX_DISC)+(HANDLING_ADJ/4))/(1-RETIAL_PRFT),2)&lt;=L16,ROUND(L16+0.01,2),ROUND((L16*(1-MAX_DISC)+(HANDLING_ADJ/4))/(1-RETIAL_PRFT),2))</f>
        <v>0.13</v>
      </c>
      <c r="Q16" s="130">
        <v>0.18</v>
      </c>
      <c r="R16" s="146">
        <f t="shared" si="4"/>
        <v>-0.054599999999999996</v>
      </c>
      <c r="S16" s="150">
        <f t="shared" si="1"/>
        <v>-0.04999999999999999</v>
      </c>
      <c r="T16" s="155">
        <v>0.21</v>
      </c>
    </row>
    <row r="17" spans="1:20" ht="14.25" thickBot="1" thickTop="1">
      <c r="A17" s="15" t="s">
        <v>70</v>
      </c>
      <c r="B17" s="88">
        <f>'CNTNR COST'!G15</f>
        <v>0.0659</v>
      </c>
      <c r="C17" s="23">
        <v>0</v>
      </c>
      <c r="D17" s="23">
        <v>0.02</v>
      </c>
      <c r="E17" s="23">
        <f>ROUND($E$12/8,4)</f>
        <v>0</v>
      </c>
      <c r="F17" s="23">
        <f>ROUND($F$12/8,4)</f>
        <v>0.0018</v>
      </c>
      <c r="G17" s="23">
        <f t="shared" si="2"/>
        <v>0.0877</v>
      </c>
      <c r="H17" s="23">
        <f t="shared" si="0"/>
        <v>0.0031</v>
      </c>
      <c r="I17" s="23">
        <f t="shared" si="3"/>
        <v>0.0908</v>
      </c>
      <c r="J17" s="23">
        <f>ROUND(J$12/8,4)</f>
        <v>-0.0176</v>
      </c>
      <c r="K17" s="23">
        <f>ROUND(K12/8,4)</f>
        <v>0.0308</v>
      </c>
      <c r="L17" s="207">
        <f t="shared" si="5"/>
        <v>0.104</v>
      </c>
      <c r="M17">
        <f>M16/2</f>
        <v>0.00125</v>
      </c>
      <c r="N17" s="100">
        <v>0.1061</v>
      </c>
      <c r="O17" s="100">
        <v>0.1169</v>
      </c>
      <c r="P17" s="210">
        <f>IF(ROUND((L17*(1-MAX_DISC)+(HANDLING_ADJ/8))/(1-RETIAL_PRFT),2)&lt;=L17,ROUND(L17+0.01,2),ROUND((L17*(1-MAX_DISC)+(HANDLING_ADJ/8))/(1-RETIAL_PRFT),2))</f>
        <v>0.11</v>
      </c>
      <c r="Q17" s="130">
        <v>0.11</v>
      </c>
      <c r="R17" s="146">
        <f t="shared" si="4"/>
        <v>-0.0021000000000000046</v>
      </c>
      <c r="S17" s="150">
        <f t="shared" si="1"/>
        <v>0</v>
      </c>
      <c r="T17" s="155">
        <v>0.12</v>
      </c>
    </row>
    <row r="18" spans="1:20" ht="14.25" thickBot="1" thickTop="1">
      <c r="A18" s="15" t="s">
        <v>98</v>
      </c>
      <c r="B18" s="89">
        <f>'CNTNR COST'!G16</f>
        <v>0.4164</v>
      </c>
      <c r="C18" s="31">
        <v>0</v>
      </c>
      <c r="D18" s="31">
        <v>0.1078</v>
      </c>
      <c r="E18" s="31">
        <f>ROUND($E$12,4)</f>
        <v>0</v>
      </c>
      <c r="F18" s="31">
        <f>ROUND($F$12,4)</f>
        <v>0.0142</v>
      </c>
      <c r="G18" s="31">
        <f t="shared" si="2"/>
        <v>0.5384</v>
      </c>
      <c r="H18" s="31">
        <f t="shared" si="0"/>
        <v>0.0189</v>
      </c>
      <c r="I18" s="31">
        <f t="shared" si="3"/>
        <v>0.5573</v>
      </c>
      <c r="J18" s="31">
        <f>+J12</f>
        <v>-0.141</v>
      </c>
      <c r="K18" s="31">
        <f>+K12</f>
        <v>0.2466</v>
      </c>
      <c r="L18" s="208">
        <f t="shared" si="5"/>
        <v>0.6629</v>
      </c>
      <c r="M18">
        <f>+M12</f>
        <v>0.01</v>
      </c>
      <c r="N18" s="101">
        <v>0.6235</v>
      </c>
      <c r="O18" s="101">
        <v>0.7629</v>
      </c>
      <c r="P18" s="211">
        <f>IF(ROUND((L18*(1-MAX_DISC)+HANDLING_ADJ)/(1-RETIAL_PRFT),2)&lt;=L18,ROUND(L18+0.01,2),ROUND((L18*(1-MAX_DISC)+HANDLING_ADJ)/(1-RETIAL_PRFT),2))</f>
        <v>0.67</v>
      </c>
      <c r="Q18" s="131">
        <v>0.64</v>
      </c>
      <c r="R18" s="146">
        <f t="shared" si="4"/>
        <v>0.03939999999999999</v>
      </c>
      <c r="S18" s="150">
        <f t="shared" si="1"/>
        <v>0.030000000000000027</v>
      </c>
      <c r="T18" s="156">
        <v>0.78</v>
      </c>
    </row>
    <row r="19" spans="1:19" ht="14.25" thickBot="1" thickTop="1">
      <c r="A19" s="15" t="s">
        <v>53</v>
      </c>
      <c r="B19" s="32"/>
      <c r="N19" s="98"/>
      <c r="O19" s="98"/>
      <c r="P19" s="150"/>
      <c r="Q19" s="109"/>
      <c r="R19" s="146" t="s">
        <v>8</v>
      </c>
      <c r="S19" s="150" t="s">
        <v>8</v>
      </c>
    </row>
    <row r="20" spans="1:20" ht="14.25" thickBot="1" thickTop="1">
      <c r="A20" s="15" t="s">
        <v>10</v>
      </c>
      <c r="B20" s="87">
        <f>'CNTNR COST'!G18</f>
        <v>1.2148</v>
      </c>
      <c r="C20" s="30">
        <v>0</v>
      </c>
      <c r="D20" s="30">
        <f>+$D$10</f>
        <v>-0.0936</v>
      </c>
      <c r="E20" s="30">
        <f>ROUND($E$12*4,4)</f>
        <v>0</v>
      </c>
      <c r="F20" s="30">
        <f>ROUND($F$12*4,4)</f>
        <v>0.0568</v>
      </c>
      <c r="G20" s="30">
        <f>ROUND(SUM(B20:F20),4)</f>
        <v>1.178</v>
      </c>
      <c r="H20" s="30">
        <f aca="true" t="shared" si="6" ref="H20:H28">ROUND((G20/(1-$H$5))-G20,4)</f>
        <v>0.0415</v>
      </c>
      <c r="I20" s="30">
        <f>ROUND(G20+H20,4)</f>
        <v>1.2195</v>
      </c>
      <c r="J20" s="30">
        <f>ROUND(J$12*4,4)</f>
        <v>-0.564</v>
      </c>
      <c r="K20" s="30">
        <f>ROUND(K$12*4,4)</f>
        <v>0.9864</v>
      </c>
      <c r="L20" s="206">
        <f aca="true" t="shared" si="7" ref="L20:L28">ROUND(SUM(I20:K20),4)</f>
        <v>1.6419</v>
      </c>
      <c r="N20" s="99">
        <v>2.232</v>
      </c>
      <c r="O20" s="99">
        <v>2.6554</v>
      </c>
      <c r="P20" s="209">
        <f>ROUND((L20*(1-MAX_DISC)+(4*HANDLING_ADJ))/(1-RETIAL_PRFT),2)</f>
        <v>1.48</v>
      </c>
      <c r="Q20" s="129">
        <v>2.33</v>
      </c>
      <c r="R20" s="146">
        <f>L20-N20</f>
        <v>-0.5901000000000003</v>
      </c>
      <c r="S20" s="150">
        <f aca="true" t="shared" si="8" ref="S20:S28">P20-Q20</f>
        <v>-0.8500000000000001</v>
      </c>
      <c r="T20" s="154">
        <v>2.77</v>
      </c>
    </row>
    <row r="21" spans="1:20" ht="14.25" thickBot="1" thickTop="1">
      <c r="A21" s="15" t="s">
        <v>67</v>
      </c>
      <c r="B21" s="88">
        <f>'CNTNR COST'!G19</f>
        <v>0.6074</v>
      </c>
      <c r="C21" s="23">
        <v>0</v>
      </c>
      <c r="D21" s="23">
        <f>+$D$11</f>
        <v>-0.0324</v>
      </c>
      <c r="E21" s="23">
        <f>ROUND($E$12*2,4)</f>
        <v>0</v>
      </c>
      <c r="F21" s="23">
        <f>ROUND($F$12*2,4)</f>
        <v>0.0284</v>
      </c>
      <c r="G21" s="23">
        <f aca="true" t="shared" si="9" ref="G21:G28">ROUND(SUM(B21:F21),4)</f>
        <v>0.6034</v>
      </c>
      <c r="H21" s="23">
        <f t="shared" si="6"/>
        <v>0.0212</v>
      </c>
      <c r="I21" s="23">
        <f aca="true" t="shared" si="10" ref="I21:I28">ROUND(G21+H21,4)</f>
        <v>0.6246</v>
      </c>
      <c r="J21" s="23">
        <f>ROUND(J$12*2,4)</f>
        <v>-0.282</v>
      </c>
      <c r="K21" s="23">
        <f>ROUND(K$12*2,4)</f>
        <v>0.4932</v>
      </c>
      <c r="L21" s="207">
        <f t="shared" si="7"/>
        <v>0.8358</v>
      </c>
      <c r="N21" s="100">
        <v>1.1478</v>
      </c>
      <c r="O21" s="100">
        <v>1.3609</v>
      </c>
      <c r="P21" s="210">
        <f>IF(ROUND((L21*(1-MAX_DISC)+(2*HANDLING_ADJ))/(1-RETIAL_PRFT),2)&lt;=L21,ROUND(L21+0.01,2),ROUND((L21*(1-MAX_DISC)+(2*HANDLING_ADJ))/(1-RETIAL_PRFT),2))</f>
        <v>0.85</v>
      </c>
      <c r="Q21" s="130">
        <v>1.19</v>
      </c>
      <c r="R21" s="146">
        <f aca="true" t="shared" si="11" ref="R21:R28">L21-N21</f>
        <v>-0.31199999999999994</v>
      </c>
      <c r="S21" s="150">
        <f t="shared" si="8"/>
        <v>-0.33999999999999997</v>
      </c>
      <c r="T21" s="155">
        <v>1.42</v>
      </c>
    </row>
    <row r="22" spans="1:20" ht="14.25" thickBot="1" thickTop="1">
      <c r="A22" s="15" t="s">
        <v>12</v>
      </c>
      <c r="B22" s="88">
        <f>'CNTNR COST'!G20</f>
        <v>0.3037</v>
      </c>
      <c r="C22" s="23">
        <v>0</v>
      </c>
      <c r="D22" s="23">
        <f>+$D$12</f>
        <v>0.0264</v>
      </c>
      <c r="E22" s="23">
        <f>ROUND(ENERGY_ADDON,4)</f>
        <v>0</v>
      </c>
      <c r="F22" s="23">
        <f>ROUND(COST_UPDATE_ADJ,4)</f>
        <v>0.0142</v>
      </c>
      <c r="G22" s="23">
        <f t="shared" si="9"/>
        <v>0.3443</v>
      </c>
      <c r="H22" s="23">
        <f t="shared" si="6"/>
        <v>0.0121</v>
      </c>
      <c r="I22" s="23">
        <f t="shared" si="10"/>
        <v>0.3564</v>
      </c>
      <c r="J22" s="23">
        <f>$J$12</f>
        <v>-0.141</v>
      </c>
      <c r="K22" s="23">
        <f>$K$12</f>
        <v>0.2466</v>
      </c>
      <c r="L22" s="207">
        <f t="shared" si="7"/>
        <v>0.462</v>
      </c>
      <c r="N22" s="100">
        <v>0.5875</v>
      </c>
      <c r="O22" s="100">
        <v>0.7349</v>
      </c>
      <c r="P22" s="210">
        <f>IF(ROUND((L22*(1-MAX_DISC)+HANDLING_ADJ)/(1-RETIAL_PRFT),2)&lt;=L22,ROUND(L22+0.01,2),ROUND((L22*(1-MAX_DISC)++HANDLING_ADJ)/(1-RETIAL_PRFT),2))</f>
        <v>0.47</v>
      </c>
      <c r="Q22" s="130">
        <v>0.61</v>
      </c>
      <c r="R22" s="146">
        <f t="shared" si="11"/>
        <v>-0.1255</v>
      </c>
      <c r="S22" s="150">
        <f t="shared" si="8"/>
        <v>-0.14</v>
      </c>
      <c r="T22" s="155">
        <v>0.76</v>
      </c>
    </row>
    <row r="23" spans="1:20" ht="14.25" thickBot="1" thickTop="1">
      <c r="A23" s="15" t="s">
        <v>13</v>
      </c>
      <c r="B23" s="88">
        <f>'CNTNR COST'!G21</f>
        <v>0.1519</v>
      </c>
      <c r="C23" s="23">
        <v>0</v>
      </c>
      <c r="D23" s="23">
        <f>+$D$13</f>
        <v>0.0249</v>
      </c>
      <c r="E23" s="23">
        <f>ROUND($E$12/2,4)</f>
        <v>0</v>
      </c>
      <c r="F23" s="23">
        <f>ROUND($F$12/2,4)</f>
        <v>0.0071</v>
      </c>
      <c r="G23" s="23">
        <f t="shared" si="9"/>
        <v>0.1839</v>
      </c>
      <c r="H23" s="23">
        <f t="shared" si="6"/>
        <v>0.0065</v>
      </c>
      <c r="I23" s="23">
        <f t="shared" si="10"/>
        <v>0.1904</v>
      </c>
      <c r="J23" s="23">
        <f>ROUND(J$12/2,4)</f>
        <v>-0.0705</v>
      </c>
      <c r="K23" s="23">
        <f>ROUND(K$12/2,4)</f>
        <v>0.1233</v>
      </c>
      <c r="L23" s="207">
        <f t="shared" si="7"/>
        <v>0.2432</v>
      </c>
      <c r="N23" s="100">
        <v>0.3132</v>
      </c>
      <c r="O23" s="100">
        <v>0.427</v>
      </c>
      <c r="P23" s="210">
        <f>IF(ROUND((L23*(1-MAX_DISC)+(HANDLING_ADJ/2))/(1-RETIAL_PRFT),2)&lt;=L23,ROUND(L23+0.01,2),ROUND((L23*(1-MAX_DISC)+(HANDLING_ADJ/2))/(1-RETIAL_PRFT),2))</f>
        <v>0.25</v>
      </c>
      <c r="Q23" s="130">
        <v>0.32</v>
      </c>
      <c r="R23" s="146">
        <f t="shared" si="11"/>
        <v>-0.06999999999999998</v>
      </c>
      <c r="S23" s="150">
        <f t="shared" si="8"/>
        <v>-0.07</v>
      </c>
      <c r="T23" s="155">
        <v>0.43</v>
      </c>
    </row>
    <row r="24" spans="1:20" ht="14.25" thickBot="1" thickTop="1">
      <c r="A24" s="15" t="s">
        <v>189</v>
      </c>
      <c r="B24" s="88">
        <f>'CNTNR COST'!G22</f>
        <v>0.1506</v>
      </c>
      <c r="C24" s="23"/>
      <c r="D24" s="23">
        <f>+$D$14</f>
        <v>0.0194</v>
      </c>
      <c r="E24" s="23">
        <f>ROUND($E$12/32*12,4)</f>
        <v>0</v>
      </c>
      <c r="F24" s="23">
        <f>ROUND($F$12/32*12,4)</f>
        <v>0.0053</v>
      </c>
      <c r="G24" s="23">
        <f t="shared" si="9"/>
        <v>0.1753</v>
      </c>
      <c r="H24" s="23">
        <f t="shared" si="6"/>
        <v>0.0062</v>
      </c>
      <c r="I24" s="23">
        <f t="shared" si="10"/>
        <v>0.1815</v>
      </c>
      <c r="J24" s="23">
        <f>ROUND(J22/32*12,4)</f>
        <v>-0.0529</v>
      </c>
      <c r="K24" s="23">
        <f>ROUND(K22/32*12,4)</f>
        <v>0.0925</v>
      </c>
      <c r="L24" s="207">
        <f>ROUND(SUM(I24:K24),4)</f>
        <v>0.2211</v>
      </c>
      <c r="N24" s="100"/>
      <c r="O24" s="100"/>
      <c r="P24" s="210">
        <f>IF(ROUND((L24*(1-MAX_DISC)+(HANDLING_ADJ*0.375))/(1-RETIAL_PRFT),2)&lt;=L24,ROUND(L24+0.01,2),ROUND((L24*(1-MAX_DISC)+(HANDLING_ADJ*0.375))/(1-RETIAL_PRFT),2))</f>
        <v>0.23</v>
      </c>
      <c r="Q24" s="130"/>
      <c r="T24" s="155"/>
    </row>
    <row r="25" spans="1:20" ht="14.25" thickBot="1" thickTop="1">
      <c r="A25" s="15" t="s">
        <v>68</v>
      </c>
      <c r="B25" s="88">
        <f>'CNTNR COST'!G23</f>
        <v>0.1493</v>
      </c>
      <c r="C25" s="23">
        <v>0</v>
      </c>
      <c r="D25" s="23">
        <f>+$D$15</f>
        <v>0.0139</v>
      </c>
      <c r="E25" s="23">
        <f>ROUND($E$12/32*10,4)</f>
        <v>0</v>
      </c>
      <c r="F25" s="23">
        <f>ROUND($F$12/32*10,4)</f>
        <v>0.0044</v>
      </c>
      <c r="G25" s="23">
        <f t="shared" si="9"/>
        <v>0.1676</v>
      </c>
      <c r="H25" s="23">
        <f t="shared" si="6"/>
        <v>0.0059</v>
      </c>
      <c r="I25" s="23">
        <f t="shared" si="10"/>
        <v>0.1735</v>
      </c>
      <c r="J25" s="23">
        <f>ROUND(J22/32*10,4)</f>
        <v>-0.0441</v>
      </c>
      <c r="K25" s="23">
        <f>ROUND(K22/32*10,4)</f>
        <v>0.0771</v>
      </c>
      <c r="L25" s="207">
        <f t="shared" si="7"/>
        <v>0.2065</v>
      </c>
      <c r="N25" s="100">
        <v>0.2107</v>
      </c>
      <c r="O25" s="100">
        <v>0.2398</v>
      </c>
      <c r="P25" s="210">
        <f>IF(ROUND((L25*(1-MAX_DISC)+(HANDLING_ADJ*0.3125))/(1-RETIAL_PRFT),2)&lt;=L25,ROUND(L25+0.01,2),ROUND((L25*(1-MAX_DISC)+(HANDLING_ADJ*0.3125))/(1-RETIAL_PRFT),2))</f>
        <v>0.22</v>
      </c>
      <c r="Q25" s="130">
        <v>0.22</v>
      </c>
      <c r="R25" s="146">
        <f t="shared" si="11"/>
        <v>-0.004200000000000009</v>
      </c>
      <c r="S25" s="150">
        <f t="shared" si="8"/>
        <v>0</v>
      </c>
      <c r="T25" s="155">
        <v>0.25</v>
      </c>
    </row>
    <row r="26" spans="1:20" ht="14.25" thickBot="1" thickTop="1">
      <c r="A26" s="15" t="s">
        <v>69</v>
      </c>
      <c r="B26" s="88">
        <f>'CNTNR COST'!G24</f>
        <v>0.0759</v>
      </c>
      <c r="C26" s="23">
        <v>0</v>
      </c>
      <c r="D26" s="23">
        <f>+$D$16</f>
        <v>0.0139</v>
      </c>
      <c r="E26" s="23">
        <f>ROUND($E$12/4,4)</f>
        <v>0</v>
      </c>
      <c r="F26" s="23">
        <f>ROUND($F$12/4,4)</f>
        <v>0.0036</v>
      </c>
      <c r="G26" s="23">
        <f t="shared" si="9"/>
        <v>0.0934</v>
      </c>
      <c r="H26" s="23">
        <f t="shared" si="6"/>
        <v>0.0033</v>
      </c>
      <c r="I26" s="23">
        <f t="shared" si="10"/>
        <v>0.0967</v>
      </c>
      <c r="J26" s="23">
        <f>ROUND(J$12/4,4)</f>
        <v>-0.0353</v>
      </c>
      <c r="K26" s="23">
        <f>ROUND(K$12/4,4)</f>
        <v>0.0617</v>
      </c>
      <c r="L26" s="207">
        <f t="shared" si="7"/>
        <v>0.1231</v>
      </c>
      <c r="N26" s="100">
        <v>0.1717</v>
      </c>
      <c r="O26" s="100">
        <v>0.1923</v>
      </c>
      <c r="P26" s="210">
        <f>IF(ROUND((L26*(1-MAX_DISC)+(HANDLING_ADJ/4))/(1-RETIAL_PRFT),2)&lt;=L26,ROUND(L26+0.01,2),ROUND((L26*(1-MAX_DISC)+(HANDLING_ADJ/4))/(1-RETIAL_PRFT),2))</f>
        <v>0.13</v>
      </c>
      <c r="Q26" s="130">
        <v>0.18</v>
      </c>
      <c r="R26" s="146">
        <f t="shared" si="11"/>
        <v>-0.04859999999999999</v>
      </c>
      <c r="S26" s="150">
        <f t="shared" si="8"/>
        <v>-0.04999999999999999</v>
      </c>
      <c r="T26" s="155">
        <v>0.2</v>
      </c>
    </row>
    <row r="27" spans="1:20" ht="14.25" thickBot="1" thickTop="1">
      <c r="A27" s="15" t="s">
        <v>70</v>
      </c>
      <c r="B27" s="88">
        <f>'CNTNR COST'!G25</f>
        <v>0.066</v>
      </c>
      <c r="C27" s="23">
        <v>0</v>
      </c>
      <c r="D27" s="23">
        <f>+$D$17</f>
        <v>0.02</v>
      </c>
      <c r="E27" s="23">
        <f>ROUND($E$12/8,4)</f>
        <v>0</v>
      </c>
      <c r="F27" s="23">
        <f>ROUND($F$12/8,4)</f>
        <v>0.0018</v>
      </c>
      <c r="G27" s="23">
        <f t="shared" si="9"/>
        <v>0.0878</v>
      </c>
      <c r="H27" s="23">
        <f t="shared" si="6"/>
        <v>0.0031</v>
      </c>
      <c r="I27" s="23">
        <f t="shared" si="10"/>
        <v>0.0909</v>
      </c>
      <c r="J27" s="23">
        <f>ROUND(J$12/8,4)</f>
        <v>-0.0176</v>
      </c>
      <c r="K27" s="23">
        <f>ROUND(K$12/8,4)</f>
        <v>0.0308</v>
      </c>
      <c r="L27" s="207">
        <f t="shared" si="7"/>
        <v>0.1041</v>
      </c>
      <c r="N27" s="100">
        <v>0.1031</v>
      </c>
      <c r="O27" s="100">
        <v>0.1094</v>
      </c>
      <c r="P27" s="210">
        <f>IF(ROUND((L27*(1-MAX_DISC)+(HANDLING_ADJ/8))/(1-RETIAL_PRFT),2)&lt;=L27,ROUND(L27+0.01,2),ROUND((L27*(1-MAX_DISC)+(HANDLING_ADJ/8))/(1-RETIAL_PRFT),2))</f>
        <v>0.11</v>
      </c>
      <c r="Q27" s="130">
        <v>0.11</v>
      </c>
      <c r="R27" s="146">
        <f t="shared" si="11"/>
        <v>0.0010000000000000009</v>
      </c>
      <c r="S27" s="150">
        <f t="shared" si="8"/>
        <v>0</v>
      </c>
      <c r="T27" s="155">
        <v>0.11</v>
      </c>
    </row>
    <row r="28" spans="1:20" ht="14.25" thickBot="1" thickTop="1">
      <c r="A28" s="15" t="s">
        <v>98</v>
      </c>
      <c r="B28" s="89">
        <f>'CNTNR COST'!G26</f>
        <v>0.4166</v>
      </c>
      <c r="C28" s="31">
        <v>0</v>
      </c>
      <c r="D28" s="31">
        <f>+$D$18</f>
        <v>0.1078</v>
      </c>
      <c r="E28" s="31">
        <f>ROUND($E$12,4)</f>
        <v>0</v>
      </c>
      <c r="F28" s="31">
        <f>ROUND($F$12,4)</f>
        <v>0.0142</v>
      </c>
      <c r="G28" s="31">
        <f t="shared" si="9"/>
        <v>0.5386</v>
      </c>
      <c r="H28" s="31">
        <f t="shared" si="6"/>
        <v>0.019</v>
      </c>
      <c r="I28" s="31">
        <f t="shared" si="10"/>
        <v>0.5576</v>
      </c>
      <c r="J28" s="31">
        <f>J$12</f>
        <v>-0.141</v>
      </c>
      <c r="K28" s="31">
        <f>K$12</f>
        <v>0.2466</v>
      </c>
      <c r="L28" s="208">
        <f t="shared" si="7"/>
        <v>0.6632</v>
      </c>
      <c r="N28" s="101">
        <v>0.5995</v>
      </c>
      <c r="O28" s="101">
        <v>0.7017</v>
      </c>
      <c r="P28" s="211">
        <f>IF(ROUND((L28*(1-MAX_DISC)+HANDLING_ADJ)/(1-RETIAL_PRFT),2)&lt;=L28,ROUND(L28+0.01,2),ROUND((L28*(1-MAX_DISC)+HANDLING_ADJ)/(1-RETIAL_PRFT),2))</f>
        <v>0.67</v>
      </c>
      <c r="Q28" s="131">
        <v>0.62</v>
      </c>
      <c r="R28" s="146">
        <f t="shared" si="11"/>
        <v>0.06369999999999998</v>
      </c>
      <c r="S28" s="150">
        <f t="shared" si="8"/>
        <v>0.050000000000000044</v>
      </c>
      <c r="T28" s="156">
        <v>0.73</v>
      </c>
    </row>
    <row r="29" spans="1:19" ht="14.25" thickBot="1" thickTop="1">
      <c r="A29" s="15" t="s">
        <v>99</v>
      </c>
      <c r="B29" s="32"/>
      <c r="D29" s="32"/>
      <c r="E29" s="32"/>
      <c r="N29" s="98"/>
      <c r="O29" s="98"/>
      <c r="P29" s="150"/>
      <c r="Q29" s="134"/>
      <c r="R29" s="146" t="s">
        <v>8</v>
      </c>
      <c r="S29" s="150" t="s">
        <v>8</v>
      </c>
    </row>
    <row r="30" spans="1:20" ht="14.25" thickBot="1" thickTop="1">
      <c r="A30" s="15" t="s">
        <v>10</v>
      </c>
      <c r="B30" s="87">
        <f>'CNTNR COST'!G28</f>
        <v>1.2148</v>
      </c>
      <c r="C30" s="30">
        <v>0</v>
      </c>
      <c r="D30" s="30">
        <f>+$D$10</f>
        <v>-0.0936</v>
      </c>
      <c r="E30" s="30">
        <f>ROUND($E$12*4,4)</f>
        <v>0</v>
      </c>
      <c r="F30" s="30">
        <f>ROUND($F$12*4,4)</f>
        <v>0.0568</v>
      </c>
      <c r="G30" s="30">
        <f>ROUND(SUM(B30:F30),4)</f>
        <v>1.178</v>
      </c>
      <c r="H30" s="30">
        <f aca="true" t="shared" si="12" ref="H30:H38">ROUND((G30/(1-$H$5))-G30,4)</f>
        <v>0.0415</v>
      </c>
      <c r="I30" s="30">
        <f>ROUND(G30+H30,4)</f>
        <v>1.2195</v>
      </c>
      <c r="J30" s="30">
        <f>ROUND(J$12*4,4)</f>
        <v>-0.564</v>
      </c>
      <c r="K30" s="30">
        <f>ROUND(K$12*4,4)</f>
        <v>0.9864</v>
      </c>
      <c r="L30" s="206">
        <f aca="true" t="shared" si="13" ref="L30:L38">ROUND(SUM(I30:K30),4)</f>
        <v>1.6419</v>
      </c>
      <c r="N30" s="99">
        <v>2.1562</v>
      </c>
      <c r="O30" s="99">
        <v>2.4771</v>
      </c>
      <c r="P30" s="209">
        <f>ROUND((L30*(1-MAX_DISC)+(4*HANDLING_ADJ))/(1-RETIAL_PRFT),2)</f>
        <v>1.48</v>
      </c>
      <c r="Q30" s="129">
        <v>2.25</v>
      </c>
      <c r="R30" s="146">
        <f>L30-N30</f>
        <v>-0.5143000000000002</v>
      </c>
      <c r="S30" s="150">
        <f aca="true" t="shared" si="14" ref="S30:S38">P30-Q30</f>
        <v>-0.77</v>
      </c>
      <c r="T30" s="154">
        <v>2.61</v>
      </c>
    </row>
    <row r="31" spans="1:20" ht="14.25" thickBot="1" thickTop="1">
      <c r="A31" s="15" t="s">
        <v>67</v>
      </c>
      <c r="B31" s="88">
        <f>'CNTNR COST'!G29</f>
        <v>0.6074</v>
      </c>
      <c r="C31" s="23">
        <v>0</v>
      </c>
      <c r="D31" s="23">
        <f>+$D$11</f>
        <v>-0.0324</v>
      </c>
      <c r="E31" s="23">
        <f>ROUND($E$12*2,4)</f>
        <v>0</v>
      </c>
      <c r="F31" s="23">
        <f>ROUND($F$12*2,4)</f>
        <v>0.0284</v>
      </c>
      <c r="G31" s="23">
        <f aca="true" t="shared" si="15" ref="G31:G38">ROUND(SUM(B31:F31),4)</f>
        <v>0.6034</v>
      </c>
      <c r="H31" s="23">
        <f t="shared" si="12"/>
        <v>0.0212</v>
      </c>
      <c r="I31" s="23">
        <f aca="true" t="shared" si="16" ref="I31:I38">ROUND(G31+H31,4)</f>
        <v>0.6246</v>
      </c>
      <c r="J31" s="23">
        <f>ROUND(J$12*2,4)</f>
        <v>-0.282</v>
      </c>
      <c r="K31" s="23">
        <f>ROUND(K$12*2,4)</f>
        <v>0.4932</v>
      </c>
      <c r="L31" s="207">
        <f t="shared" si="13"/>
        <v>0.8358</v>
      </c>
      <c r="N31" s="100">
        <v>1.1099</v>
      </c>
      <c r="O31" s="100">
        <v>1.2718</v>
      </c>
      <c r="P31" s="210">
        <f>IF(ROUND((L31*(1-MAX_DISC)+(2*HANDLING_ADJ))/(1-RETIAL_PRFT),2)&lt;=L31,ROUND(L31+0.01,2),ROUND((L31*(1-MAX_DISC)+(2*HANDLING_ADJ))/(1-RETIAL_PRFT),2))</f>
        <v>0.85</v>
      </c>
      <c r="Q31" s="130">
        <v>1.16</v>
      </c>
      <c r="R31" s="146">
        <f aca="true" t="shared" si="17" ref="R31:R38">L31-N31</f>
        <v>-0.2741000000000001</v>
      </c>
      <c r="S31" s="150">
        <f t="shared" si="14"/>
        <v>-0.30999999999999994</v>
      </c>
      <c r="T31" s="155">
        <v>1.34</v>
      </c>
    </row>
    <row r="32" spans="1:20" ht="14.25" thickBot="1" thickTop="1">
      <c r="A32" s="15" t="s">
        <v>12</v>
      </c>
      <c r="B32" s="88">
        <f>'CNTNR COST'!G30</f>
        <v>0.3037</v>
      </c>
      <c r="C32" s="23">
        <v>0</v>
      </c>
      <c r="D32" s="23">
        <f>+$D$12</f>
        <v>0.0264</v>
      </c>
      <c r="E32" s="23">
        <f>ROUND(ENERGY_ADDON,4)</f>
        <v>0</v>
      </c>
      <c r="F32" s="23">
        <f>ROUND(COST_UPDATE_ADJ,4)</f>
        <v>0.0142</v>
      </c>
      <c r="G32" s="23">
        <f t="shared" si="15"/>
        <v>0.3443</v>
      </c>
      <c r="H32" s="23">
        <f t="shared" si="12"/>
        <v>0.0121</v>
      </c>
      <c r="I32" s="23">
        <f t="shared" si="16"/>
        <v>0.3564</v>
      </c>
      <c r="J32" s="23">
        <f>$J$12</f>
        <v>-0.141</v>
      </c>
      <c r="K32" s="23">
        <f>$K$12</f>
        <v>0.2466</v>
      </c>
      <c r="L32" s="207">
        <f t="shared" si="13"/>
        <v>0.462</v>
      </c>
      <c r="N32" s="100">
        <v>0.5686</v>
      </c>
      <c r="O32" s="100">
        <v>0.6903</v>
      </c>
      <c r="P32" s="210">
        <f>IF(ROUND((L32*(1-MAX_DISC)+HANDLING_ADJ)/(1-RETIAL_PRFT),2)&lt;=L32,ROUND(L32+0.01,2),ROUND((L32*(1-MAX_DISC)++HANDLING_ADJ)/(1-RETIAL_PRFT),2))</f>
        <v>0.47</v>
      </c>
      <c r="Q32" s="130">
        <v>0.6</v>
      </c>
      <c r="R32" s="146">
        <f t="shared" si="17"/>
        <v>-0.10659999999999997</v>
      </c>
      <c r="S32" s="150">
        <f t="shared" si="14"/>
        <v>-0.13</v>
      </c>
      <c r="T32" s="155">
        <v>0.72</v>
      </c>
    </row>
    <row r="33" spans="1:20" ht="14.25" thickBot="1" thickTop="1">
      <c r="A33" s="15" t="s">
        <v>13</v>
      </c>
      <c r="B33" s="88">
        <f>'CNTNR COST'!G31</f>
        <v>0.1519</v>
      </c>
      <c r="C33" s="23">
        <v>0</v>
      </c>
      <c r="D33" s="23">
        <f>+$D$13</f>
        <v>0.0249</v>
      </c>
      <c r="E33" s="23">
        <f>ROUND($E$12/2,4)</f>
        <v>0</v>
      </c>
      <c r="F33" s="23">
        <f>ROUND($F$12/2,4)</f>
        <v>0.0071</v>
      </c>
      <c r="G33" s="23">
        <f t="shared" si="15"/>
        <v>0.1839</v>
      </c>
      <c r="H33" s="23">
        <f t="shared" si="12"/>
        <v>0.0065</v>
      </c>
      <c r="I33" s="23">
        <f t="shared" si="16"/>
        <v>0.1904</v>
      </c>
      <c r="J33" s="23">
        <f>ROUND(J$12/2,4)</f>
        <v>-0.0705</v>
      </c>
      <c r="K33" s="23">
        <f>ROUND(K$12/2,4)</f>
        <v>0.1233</v>
      </c>
      <c r="L33" s="207">
        <f t="shared" si="13"/>
        <v>0.2432</v>
      </c>
      <c r="N33" s="100">
        <v>0.3038</v>
      </c>
      <c r="O33" s="100">
        <v>0.4048</v>
      </c>
      <c r="P33" s="210">
        <f>IF(ROUND((L33*(1-MAX_DISC)+(HANDLING_ADJ/2))/(1-RETIAL_PRFT),2)&lt;=L33,ROUND(L33+0.01,2),ROUND((L33*(1-MAX_DISC)+(HANDLING_ADJ/2))/(1-RETIAL_PRFT),2))</f>
        <v>0.25</v>
      </c>
      <c r="Q33" s="130">
        <v>0.32</v>
      </c>
      <c r="R33" s="146">
        <f t="shared" si="17"/>
        <v>-0.060600000000000015</v>
      </c>
      <c r="S33" s="150">
        <f t="shared" si="14"/>
        <v>-0.07</v>
      </c>
      <c r="T33" s="155">
        <v>0.41</v>
      </c>
    </row>
    <row r="34" spans="1:20" ht="14.25" thickBot="1" thickTop="1">
      <c r="A34" s="15" t="s">
        <v>189</v>
      </c>
      <c r="B34" s="88">
        <f>'CNTNR COST'!G32</f>
        <v>0.1506</v>
      </c>
      <c r="C34" s="23"/>
      <c r="D34" s="23">
        <f>+$D$14</f>
        <v>0.0194</v>
      </c>
      <c r="E34" s="23">
        <f>ROUND($E$12/32*12,4)</f>
        <v>0</v>
      </c>
      <c r="F34" s="23">
        <f>ROUND($F$12/32*12,4)</f>
        <v>0.0053</v>
      </c>
      <c r="G34" s="23">
        <f t="shared" si="15"/>
        <v>0.1753</v>
      </c>
      <c r="H34" s="23">
        <f t="shared" si="12"/>
        <v>0.0062</v>
      </c>
      <c r="I34" s="23">
        <f t="shared" si="16"/>
        <v>0.1815</v>
      </c>
      <c r="J34" s="23">
        <f>ROUND(J32/32*12,4)</f>
        <v>-0.0529</v>
      </c>
      <c r="K34" s="23">
        <f>ROUND(K32/32*12,4)</f>
        <v>0.0925</v>
      </c>
      <c r="L34" s="207">
        <f>ROUND(SUM(I34:K34),4)</f>
        <v>0.2211</v>
      </c>
      <c r="N34" s="100"/>
      <c r="O34" s="100"/>
      <c r="P34" s="210">
        <f>IF(ROUND((L34*(1-MAX_DISC)+(HANDLING_ADJ*0.375))/(1-RETIAL_PRFT),2)&lt;=L34,ROUND(L34+0.01,2),ROUND((L34*(1-MAX_DISC)+(HANDLING_ADJ*0.375))/(1-RETIAL_PRFT),2))</f>
        <v>0.23</v>
      </c>
      <c r="Q34" s="130"/>
      <c r="T34" s="155"/>
    </row>
    <row r="35" spans="1:20" ht="14.25" thickBot="1" thickTop="1">
      <c r="A35" s="15" t="s">
        <v>68</v>
      </c>
      <c r="B35" s="88">
        <f>'CNTNR COST'!G33</f>
        <v>0.1493</v>
      </c>
      <c r="C35" s="23">
        <v>0</v>
      </c>
      <c r="D35" s="23">
        <f>+$D$15</f>
        <v>0.0139</v>
      </c>
      <c r="E35" s="23">
        <f>ROUND($E$12/32*10,4)</f>
        <v>0</v>
      </c>
      <c r="F35" s="23">
        <f>ROUND($F$12/32*10,4)</f>
        <v>0.0044</v>
      </c>
      <c r="G35" s="23">
        <f t="shared" si="15"/>
        <v>0.1676</v>
      </c>
      <c r="H35" s="23">
        <f t="shared" si="12"/>
        <v>0.0059</v>
      </c>
      <c r="I35" s="23">
        <f t="shared" si="16"/>
        <v>0.1735</v>
      </c>
      <c r="J35" s="23">
        <f>ROUND(J32/32*10,4)</f>
        <v>-0.0441</v>
      </c>
      <c r="K35" s="23">
        <f>ROUND(K32/32*10,4)</f>
        <v>0.0771</v>
      </c>
      <c r="L35" s="207">
        <f t="shared" si="13"/>
        <v>0.2065</v>
      </c>
      <c r="N35" s="100">
        <v>0.2047</v>
      </c>
      <c r="O35" s="100">
        <v>0.2259</v>
      </c>
      <c r="P35" s="210">
        <f>IF(ROUND((L35*(1-MAX_DISC)+(HANDLING_ADJ*0.3125))/(1-RETIAL_PRFT),2)&lt;=L35,ROUND(L35+0.01,2),ROUND((L35*(1-MAX_DISC)+(HANDLING_ADJ*0.3125))/(1-RETIAL_PRFT),2))</f>
        <v>0.22</v>
      </c>
      <c r="Q35" s="130">
        <v>0.21</v>
      </c>
      <c r="R35" s="146">
        <f t="shared" si="17"/>
        <v>0.001799999999999996</v>
      </c>
      <c r="S35" s="150">
        <f t="shared" si="14"/>
        <v>0.010000000000000009</v>
      </c>
      <c r="T35" s="155">
        <v>0.23</v>
      </c>
    </row>
    <row r="36" spans="1:20" ht="14.25" thickBot="1" thickTop="1">
      <c r="A36" s="15" t="s">
        <v>69</v>
      </c>
      <c r="B36" s="88">
        <f>'CNTNR COST'!G34</f>
        <v>0.0759</v>
      </c>
      <c r="C36" s="23">
        <v>0</v>
      </c>
      <c r="D36" s="23">
        <f>+$D$16</f>
        <v>0.0139</v>
      </c>
      <c r="E36" s="23">
        <f>ROUND($E$12/4,4)</f>
        <v>0</v>
      </c>
      <c r="F36" s="23">
        <f>ROUND($F$12/4,4)</f>
        <v>0.0036</v>
      </c>
      <c r="G36" s="23">
        <f t="shared" si="15"/>
        <v>0.0934</v>
      </c>
      <c r="H36" s="23">
        <f t="shared" si="12"/>
        <v>0.0033</v>
      </c>
      <c r="I36" s="23">
        <f t="shared" si="16"/>
        <v>0.0967</v>
      </c>
      <c r="J36" s="23">
        <f>ROUND(J$12/4,4)</f>
        <v>-0.0353</v>
      </c>
      <c r="K36" s="23">
        <f>ROUND(K$12/4,4)</f>
        <v>0.0617</v>
      </c>
      <c r="L36" s="207">
        <f t="shared" si="13"/>
        <v>0.1231</v>
      </c>
      <c r="N36" s="100">
        <v>0.167</v>
      </c>
      <c r="O36" s="100">
        <v>0.1811</v>
      </c>
      <c r="P36" s="210">
        <f>IF(ROUND((L36*(1-MAX_DISC)+(HANDLING_ADJ/4))/(1-RETIAL_PRFT),2)&lt;=L36,ROUND(L36+0.01,2),ROUND((L36*(1-MAX_DISC)+(HANDLING_ADJ/4))/(1-RETIAL_PRFT),2))</f>
        <v>0.13</v>
      </c>
      <c r="Q36" s="130">
        <v>0.17</v>
      </c>
      <c r="R36" s="146">
        <f t="shared" si="17"/>
        <v>-0.04390000000000001</v>
      </c>
      <c r="S36" s="150">
        <f t="shared" si="14"/>
        <v>-0.04000000000000001</v>
      </c>
      <c r="T36" s="155">
        <v>0.19</v>
      </c>
    </row>
    <row r="37" spans="1:20" ht="14.25" thickBot="1" thickTop="1">
      <c r="A37" s="15" t="s">
        <v>70</v>
      </c>
      <c r="B37" s="88">
        <f>'CNTNR COST'!G35</f>
        <v>0.066</v>
      </c>
      <c r="C37" s="23">
        <v>0</v>
      </c>
      <c r="D37" s="23">
        <f>+$D$17</f>
        <v>0.02</v>
      </c>
      <c r="E37" s="23">
        <f>ROUND($E$12/8,4)</f>
        <v>0</v>
      </c>
      <c r="F37" s="23">
        <f>ROUND($F$12/8,4)</f>
        <v>0.0018</v>
      </c>
      <c r="G37" s="23">
        <f t="shared" si="15"/>
        <v>0.0878</v>
      </c>
      <c r="H37" s="23">
        <f t="shared" si="12"/>
        <v>0.0031</v>
      </c>
      <c r="I37" s="23">
        <f t="shared" si="16"/>
        <v>0.0909</v>
      </c>
      <c r="J37" s="23">
        <f>ROUND(J$12/8,4)</f>
        <v>-0.0176</v>
      </c>
      <c r="K37" s="23">
        <f>ROUND(K$12/8,4)</f>
        <v>0.0308</v>
      </c>
      <c r="L37" s="207">
        <f t="shared" si="13"/>
        <v>0.1041</v>
      </c>
      <c r="N37" s="100">
        <v>0.1007</v>
      </c>
      <c r="O37" s="100">
        <v>0.1038</v>
      </c>
      <c r="P37" s="210">
        <f>IF(ROUND((L37*(1-MAX_DISC)+(HANDLING_ADJ/8))/(1-RETIAL_PRFT),2)&lt;=L37,ROUND(L37+0.01,2),ROUND((L37*(1-MAX_DISC)+(HANDLING_ADJ/8))/(1-RETIAL_PRFT),2))</f>
        <v>0.11</v>
      </c>
      <c r="Q37" s="130">
        <v>0.11</v>
      </c>
      <c r="R37" s="146">
        <f t="shared" si="17"/>
        <v>0.0034000000000000002</v>
      </c>
      <c r="S37" s="150">
        <f t="shared" si="14"/>
        <v>0</v>
      </c>
      <c r="T37" s="155">
        <v>0.11</v>
      </c>
    </row>
    <row r="38" spans="1:20" ht="14.25" thickBot="1" thickTop="1">
      <c r="A38" s="15" t="s">
        <v>98</v>
      </c>
      <c r="B38" s="89">
        <f>'CNTNR COST'!G36</f>
        <v>0.4166</v>
      </c>
      <c r="C38" s="31">
        <v>0</v>
      </c>
      <c r="D38" s="31">
        <f>+$D$18</f>
        <v>0.1078</v>
      </c>
      <c r="E38" s="31">
        <f>ROUND($E$12,4)</f>
        <v>0</v>
      </c>
      <c r="F38" s="31">
        <f>ROUND($F$12,4)</f>
        <v>0.0142</v>
      </c>
      <c r="G38" s="31">
        <f t="shared" si="15"/>
        <v>0.5386</v>
      </c>
      <c r="H38" s="31">
        <f t="shared" si="12"/>
        <v>0.019</v>
      </c>
      <c r="I38" s="31">
        <f t="shared" si="16"/>
        <v>0.5576</v>
      </c>
      <c r="J38" s="31">
        <f>J$12</f>
        <v>-0.141</v>
      </c>
      <c r="K38" s="31">
        <f>K$12</f>
        <v>0.2466</v>
      </c>
      <c r="L38" s="208">
        <f t="shared" si="13"/>
        <v>0.6632</v>
      </c>
      <c r="N38" s="101">
        <v>0.5806</v>
      </c>
      <c r="O38" s="101">
        <v>0.6571</v>
      </c>
      <c r="P38" s="211">
        <f>IF(ROUND((L38*(1-MAX_DISC)+HANDLING_ADJ)/(1-RETIAL_PRFT),2)&lt;=L38,ROUND(L38+0.01,2),ROUND((L38*(1-MAX_DISC)+HANDLING_ADJ)/(1-RETIAL_PRFT),2))</f>
        <v>0.67</v>
      </c>
      <c r="Q38" s="131">
        <v>0.6</v>
      </c>
      <c r="R38" s="146">
        <f t="shared" si="17"/>
        <v>0.0826</v>
      </c>
      <c r="S38" s="150">
        <f t="shared" si="14"/>
        <v>0.07000000000000006</v>
      </c>
      <c r="T38" s="156">
        <v>0.69</v>
      </c>
    </row>
    <row r="39" spans="1:19" ht="14.25" thickBot="1" thickTop="1">
      <c r="A39" s="29" t="s">
        <v>55</v>
      </c>
      <c r="B39" s="32"/>
      <c r="D39" s="32"/>
      <c r="E39" s="32"/>
      <c r="N39" s="98"/>
      <c r="O39" s="98"/>
      <c r="P39" s="150"/>
      <c r="Q39" s="134"/>
      <c r="R39" s="146" t="s">
        <v>8</v>
      </c>
      <c r="S39" s="150" t="s">
        <v>8</v>
      </c>
    </row>
    <row r="40" spans="1:20" ht="14.25" thickBot="1" thickTop="1">
      <c r="A40" s="15" t="s">
        <v>10</v>
      </c>
      <c r="B40" s="87">
        <f>'CNTNR COST'!G38</f>
        <v>1.2278</v>
      </c>
      <c r="C40" s="30">
        <v>0</v>
      </c>
      <c r="D40" s="30">
        <f>+$D$10</f>
        <v>-0.0936</v>
      </c>
      <c r="E40" s="30">
        <f>ROUND($E$12*4,4)</f>
        <v>0</v>
      </c>
      <c r="F40" s="30">
        <f>ROUND($F$12*4,4)</f>
        <v>0.0568</v>
      </c>
      <c r="G40" s="30">
        <f>ROUND(SUM(B40:F40),4)</f>
        <v>1.191</v>
      </c>
      <c r="H40" s="30">
        <f aca="true" t="shared" si="18" ref="H40:H48">ROUND((G40/(1-$H$5))-G40,4)</f>
        <v>0.0419</v>
      </c>
      <c r="I40" s="30">
        <f>ROUND(G40+H40,4)</f>
        <v>1.2329</v>
      </c>
      <c r="J40" s="30">
        <f>ROUND(J$12*4,4)</f>
        <v>-0.564</v>
      </c>
      <c r="K40" s="30">
        <f>ROUND(K$12*4,4)</f>
        <v>0.9864</v>
      </c>
      <c r="L40" s="206">
        <f aca="true" t="shared" si="19" ref="L40:L48">ROUND(SUM(I40:K40),4)</f>
        <v>1.6553</v>
      </c>
      <c r="N40" s="99">
        <v>2.1308</v>
      </c>
      <c r="O40" s="99">
        <v>2.3145</v>
      </c>
      <c r="P40" s="209">
        <f>ROUND((L40*(1-MAX_DISC)+(4*HANDLING_ADJ))/(1-RETIAL_PRFT),2)</f>
        <v>1.49</v>
      </c>
      <c r="Q40" s="129">
        <v>2.23</v>
      </c>
      <c r="R40" s="146">
        <f>L40-N40</f>
        <v>-0.4754999999999998</v>
      </c>
      <c r="S40" s="150">
        <f aca="true" t="shared" si="20" ref="S40:S48">P40-Q40</f>
        <v>-0.74</v>
      </c>
      <c r="T40" s="154">
        <v>2.47</v>
      </c>
    </row>
    <row r="41" spans="1:20" ht="14.25" thickBot="1" thickTop="1">
      <c r="A41" s="15" t="s">
        <v>67</v>
      </c>
      <c r="B41" s="88">
        <f>'CNTNR COST'!G39</f>
        <v>0.6139</v>
      </c>
      <c r="C41" s="23">
        <v>0</v>
      </c>
      <c r="D41" s="23">
        <f>+$D$11</f>
        <v>-0.0324</v>
      </c>
      <c r="E41" s="23">
        <f>ROUND($E$12*2,4)</f>
        <v>0</v>
      </c>
      <c r="F41" s="23">
        <f>ROUND($F$12*2,4)</f>
        <v>0.0284</v>
      </c>
      <c r="G41" s="23">
        <f aca="true" t="shared" si="21" ref="G41:G48">ROUND(SUM(B41:F41),4)</f>
        <v>0.6099</v>
      </c>
      <c r="H41" s="23">
        <f t="shared" si="18"/>
        <v>0.0215</v>
      </c>
      <c r="I41" s="23">
        <f aca="true" t="shared" si="22" ref="I41:I48">ROUND(G41+H41,4)</f>
        <v>0.6314</v>
      </c>
      <c r="J41" s="23">
        <f>ROUND(J$12*2,4)</f>
        <v>-0.282</v>
      </c>
      <c r="K41" s="23">
        <f>ROUND(K$12*2,4)</f>
        <v>0.4932</v>
      </c>
      <c r="L41" s="207">
        <f t="shared" si="19"/>
        <v>0.8426</v>
      </c>
      <c r="N41" s="100">
        <v>1.0972</v>
      </c>
      <c r="O41" s="100">
        <v>1.1904</v>
      </c>
      <c r="P41" s="210">
        <f>IF(ROUND((L41*(1-MAX_DISC)+(2*HANDLING_ADJ))/(1-RETIAL_PRFT),2)&lt;=L41,ROUND(L41+0.01,2),ROUND((L41*(1-MAX_DISC)+(2*HANDLING_ADJ))/(1-RETIAL_PRFT),2))</f>
        <v>0.85</v>
      </c>
      <c r="Q41" s="130">
        <v>1.14</v>
      </c>
      <c r="R41" s="146">
        <f aca="true" t="shared" si="23" ref="R41:R48">L41-N41</f>
        <v>-0.25459999999999994</v>
      </c>
      <c r="S41" s="150">
        <f t="shared" si="20"/>
        <v>-0.2899999999999999</v>
      </c>
      <c r="T41" s="155">
        <v>1.26</v>
      </c>
    </row>
    <row r="42" spans="1:20" ht="14.25" thickBot="1" thickTop="1">
      <c r="A42" s="15" t="s">
        <v>12</v>
      </c>
      <c r="B42" s="88">
        <f>'CNTNR COST'!G40</f>
        <v>0.3069</v>
      </c>
      <c r="C42" s="23">
        <v>0</v>
      </c>
      <c r="D42" s="23">
        <f>+$D$12</f>
        <v>0.0264</v>
      </c>
      <c r="E42" s="23">
        <f>ROUND(ENERGY_ADDON,4)</f>
        <v>0</v>
      </c>
      <c r="F42" s="23">
        <f>ROUND(COST_UPDATE_ADJ,4)</f>
        <v>0.0142</v>
      </c>
      <c r="G42" s="23">
        <f t="shared" si="21"/>
        <v>0.3475</v>
      </c>
      <c r="H42" s="23">
        <f t="shared" si="18"/>
        <v>0.0122</v>
      </c>
      <c r="I42" s="23">
        <f t="shared" si="22"/>
        <v>0.3597</v>
      </c>
      <c r="J42" s="23">
        <f>$J$12</f>
        <v>-0.141</v>
      </c>
      <c r="K42" s="23">
        <f>$K$12</f>
        <v>0.2466</v>
      </c>
      <c r="L42" s="207">
        <f t="shared" si="19"/>
        <v>0.4653</v>
      </c>
      <c r="N42" s="100">
        <v>0.5623</v>
      </c>
      <c r="O42" s="100">
        <v>0.6497</v>
      </c>
      <c r="P42" s="210">
        <f>IF(ROUND((L42*(1-MAX_DISC)+HANDLING_ADJ)/(1-RETIAL_PRFT),2)&lt;=L42,ROUND(L42+0.01,2),ROUND((L42*(1-MAX_DISC)++HANDLING_ADJ)/(1-RETIAL_PRFT),2))</f>
        <v>0.48</v>
      </c>
      <c r="Q42" s="130">
        <v>0.58</v>
      </c>
      <c r="R42" s="146">
        <f t="shared" si="23"/>
        <v>-0.09700000000000003</v>
      </c>
      <c r="S42" s="150">
        <f t="shared" si="20"/>
        <v>-0.09999999999999998</v>
      </c>
      <c r="T42" s="155">
        <v>0.68</v>
      </c>
    </row>
    <row r="43" spans="1:20" ht="14.25" thickBot="1" thickTop="1">
      <c r="A43" s="15" t="s">
        <v>13</v>
      </c>
      <c r="B43" s="88">
        <f>'CNTNR COST'!G41</f>
        <v>0.1535</v>
      </c>
      <c r="C43" s="23">
        <v>0</v>
      </c>
      <c r="D43" s="23">
        <f>+$D$13</f>
        <v>0.0249</v>
      </c>
      <c r="E43" s="23">
        <f>ROUND($E$12/2,4)</f>
        <v>0</v>
      </c>
      <c r="F43" s="23">
        <f>ROUND($F$12/2,4)</f>
        <v>0.0071</v>
      </c>
      <c r="G43" s="23">
        <f t="shared" si="21"/>
        <v>0.1855</v>
      </c>
      <c r="H43" s="23">
        <f t="shared" si="18"/>
        <v>0.0065</v>
      </c>
      <c r="I43" s="23">
        <f t="shared" si="22"/>
        <v>0.192</v>
      </c>
      <c r="J43" s="23">
        <f>ROUND(J$12/2,4)</f>
        <v>-0.0705</v>
      </c>
      <c r="K43" s="23">
        <f>ROUND(K$12/2,4)</f>
        <v>0.1233</v>
      </c>
      <c r="L43" s="207">
        <f t="shared" si="19"/>
        <v>0.2448</v>
      </c>
      <c r="N43" s="100">
        <v>0.3006</v>
      </c>
      <c r="O43" s="100">
        <v>0.3844</v>
      </c>
      <c r="P43" s="210">
        <f>IF(ROUND((L43*(1-MAX_DISC)+(HANDLING_ADJ/2))/(1-RETIAL_PRFT),2)&lt;=L43,ROUND(L43+0.01,2),ROUND((L43*(1-MAX_DISC)+(HANDLING_ADJ/2))/(1-RETIAL_PRFT),2))</f>
        <v>0.25</v>
      </c>
      <c r="Q43" s="130">
        <v>0.32</v>
      </c>
      <c r="R43" s="146">
        <f t="shared" si="23"/>
        <v>-0.05579999999999999</v>
      </c>
      <c r="S43" s="150">
        <f t="shared" si="20"/>
        <v>-0.07</v>
      </c>
      <c r="T43" s="155">
        <v>0.39</v>
      </c>
    </row>
    <row r="44" spans="1:20" ht="14.25" thickBot="1" thickTop="1">
      <c r="A44" s="15" t="s">
        <v>189</v>
      </c>
      <c r="B44" s="88">
        <f>'CNTNR COST'!G42</f>
        <v>0.1518</v>
      </c>
      <c r="C44" s="23"/>
      <c r="D44" s="23">
        <f>+$D$14</f>
        <v>0.0194</v>
      </c>
      <c r="E44" s="23">
        <f>ROUND($E$12/32*12,4)</f>
        <v>0</v>
      </c>
      <c r="F44" s="23">
        <f>ROUND($F$12/32*12,4)</f>
        <v>0.0053</v>
      </c>
      <c r="G44" s="23">
        <f t="shared" si="21"/>
        <v>0.1765</v>
      </c>
      <c r="H44" s="23">
        <f t="shared" si="18"/>
        <v>0.0062</v>
      </c>
      <c r="I44" s="23">
        <f t="shared" si="22"/>
        <v>0.1827</v>
      </c>
      <c r="J44" s="23">
        <f>ROUND(J42/32*12,4)</f>
        <v>-0.0529</v>
      </c>
      <c r="K44" s="23">
        <f>ROUND(K42/32*12,4)</f>
        <v>0.0925</v>
      </c>
      <c r="L44" s="207">
        <f>ROUND(SUM(I44:K44),4)</f>
        <v>0.2223</v>
      </c>
      <c r="N44" s="100"/>
      <c r="O44" s="100"/>
      <c r="P44" s="210">
        <f>IF(ROUND((L44*(1-MAX_DISC)+(HANDLING_ADJ*0.375))/(1-RETIAL_PRFT),2)&lt;=L44,ROUND(L44+0.01,2),ROUND((L44*(1-MAX_DISC)+(HANDLING_ADJ*0.375))/(1-RETIAL_PRFT),2))</f>
        <v>0.23</v>
      </c>
      <c r="Q44" s="130"/>
      <c r="T44" s="155"/>
    </row>
    <row r="45" spans="1:20" ht="14.25" thickBot="1" thickTop="1">
      <c r="A45" s="15" t="s">
        <v>68</v>
      </c>
      <c r="B45" s="88">
        <f>'CNTNR COST'!G43</f>
        <v>0.1503</v>
      </c>
      <c r="C45" s="23">
        <v>0</v>
      </c>
      <c r="D45" s="23">
        <f>+$D$15</f>
        <v>0.0139</v>
      </c>
      <c r="E45" s="23">
        <f>ROUND($E$12/32*10,4)</f>
        <v>0</v>
      </c>
      <c r="F45" s="23">
        <f>ROUND($F$12/32*10,4)</f>
        <v>0.0044</v>
      </c>
      <c r="G45" s="23">
        <f t="shared" si="21"/>
        <v>0.1686</v>
      </c>
      <c r="H45" s="23">
        <f t="shared" si="18"/>
        <v>0.0059</v>
      </c>
      <c r="I45" s="23">
        <f t="shared" si="22"/>
        <v>0.1745</v>
      </c>
      <c r="J45" s="23">
        <f>ROUND(J42/32*10,4)</f>
        <v>-0.0441</v>
      </c>
      <c r="K45" s="23">
        <f>ROUND(K42/32*10,4)</f>
        <v>0.0771</v>
      </c>
      <c r="L45" s="207">
        <f t="shared" si="19"/>
        <v>0.2075</v>
      </c>
      <c r="N45" s="100">
        <v>0.2027</v>
      </c>
      <c r="O45" s="100">
        <v>0.2131</v>
      </c>
      <c r="P45" s="210">
        <f>IF(ROUND((L45*(1-MAX_DISC)+(HANDLING_ADJ*0.3125))/(1-RETIAL_PRFT),2)&lt;=L45,ROUND(L45+0.01,2),ROUND((L45*(1-MAX_DISC)+(HANDLING_ADJ*0.3125))/(1-RETIAL_PRFT),2))</f>
        <v>0.22</v>
      </c>
      <c r="Q45" s="130">
        <v>0.21</v>
      </c>
      <c r="R45" s="146">
        <f t="shared" si="23"/>
        <v>0.004799999999999999</v>
      </c>
      <c r="S45" s="150">
        <f t="shared" si="20"/>
        <v>0.010000000000000009</v>
      </c>
      <c r="T45" s="155">
        <v>0.22</v>
      </c>
    </row>
    <row r="46" spans="1:20" ht="14.25" thickBot="1" thickTop="1">
      <c r="A46" s="15" t="s">
        <v>69</v>
      </c>
      <c r="B46" s="88">
        <f>'CNTNR COST'!G44</f>
        <v>0.0768</v>
      </c>
      <c r="C46" s="23">
        <v>0</v>
      </c>
      <c r="D46" s="23">
        <f>+$D$16</f>
        <v>0.0139</v>
      </c>
      <c r="E46" s="23">
        <f>ROUND($E$12/4,4)</f>
        <v>0</v>
      </c>
      <c r="F46" s="23">
        <f>ROUND($F$12/4,4)</f>
        <v>0.0036</v>
      </c>
      <c r="G46" s="23">
        <f t="shared" si="21"/>
        <v>0.0943</v>
      </c>
      <c r="H46" s="23">
        <f t="shared" si="18"/>
        <v>0.0033</v>
      </c>
      <c r="I46" s="23">
        <f t="shared" si="22"/>
        <v>0.0976</v>
      </c>
      <c r="J46" s="23">
        <f>ROUND(J$12/4,4)</f>
        <v>-0.0353</v>
      </c>
      <c r="K46" s="23">
        <f>ROUND(K$12/4,4)</f>
        <v>0.0617</v>
      </c>
      <c r="L46" s="207">
        <f t="shared" si="19"/>
        <v>0.124</v>
      </c>
      <c r="N46" s="100">
        <v>0.1653</v>
      </c>
      <c r="O46" s="100">
        <v>0.171</v>
      </c>
      <c r="P46" s="210">
        <f>IF(ROUND((L46*(1-MAX_DISC)+(HANDLING_ADJ/4))/(1-RETIAL_PRFT),2)&lt;=L46,ROUND(L46+0.01,2),ROUND((L46*(1-MAX_DISC)+(HANDLING_ADJ/4))/(1-RETIAL_PRFT),2))</f>
        <v>0.13</v>
      </c>
      <c r="Q46" s="130">
        <v>0.17</v>
      </c>
      <c r="R46" s="146">
        <f t="shared" si="23"/>
        <v>-0.0413</v>
      </c>
      <c r="S46" s="150">
        <f t="shared" si="20"/>
        <v>-0.04000000000000001</v>
      </c>
      <c r="T46" s="155">
        <v>0.18</v>
      </c>
    </row>
    <row r="47" spans="1:20" ht="14.25" thickBot="1" thickTop="1">
      <c r="A47" s="15" t="s">
        <v>70</v>
      </c>
      <c r="B47" s="88">
        <f>'CNTNR COST'!G45</f>
        <v>0.0664</v>
      </c>
      <c r="C47" s="23">
        <v>0</v>
      </c>
      <c r="D47" s="23">
        <f>+$D$17</f>
        <v>0.02</v>
      </c>
      <c r="E47" s="23">
        <f>ROUND($E$12/8,4)</f>
        <v>0</v>
      </c>
      <c r="F47" s="23">
        <f>ROUND($F$12/8,4)</f>
        <v>0.0018</v>
      </c>
      <c r="G47" s="23">
        <f t="shared" si="21"/>
        <v>0.0882</v>
      </c>
      <c r="H47" s="23">
        <f t="shared" si="18"/>
        <v>0.0031</v>
      </c>
      <c r="I47" s="23">
        <f t="shared" si="22"/>
        <v>0.0913</v>
      </c>
      <c r="J47" s="23">
        <f>ROUND(J$12/8,4)</f>
        <v>-0.0176</v>
      </c>
      <c r="K47" s="23">
        <f>ROUND(K$12/8,4)</f>
        <v>0.0308</v>
      </c>
      <c r="L47" s="207">
        <f t="shared" si="19"/>
        <v>0.1045</v>
      </c>
      <c r="N47" s="100">
        <v>0.0999</v>
      </c>
      <c r="O47" s="100">
        <v>0.0987</v>
      </c>
      <c r="P47" s="210">
        <f>IF(ROUND((L47*(1-MAX_DISC)+(HANDLING_ADJ/8))/(1-RETIAL_PRFT),2)&lt;=L47,ROUND(L47+0.01,2),ROUND((L47*(1-MAX_DISC)+(HANDLING_ADJ/8))/(1-RETIAL_PRFT),2))</f>
        <v>0.11</v>
      </c>
      <c r="Q47" s="130">
        <v>0.11</v>
      </c>
      <c r="R47" s="146">
        <f t="shared" si="23"/>
        <v>0.004599999999999993</v>
      </c>
      <c r="S47" s="150">
        <f t="shared" si="20"/>
        <v>0</v>
      </c>
      <c r="T47" s="155">
        <v>0.1</v>
      </c>
    </row>
    <row r="48" spans="1:20" ht="14.25" thickBot="1" thickTop="1">
      <c r="A48" s="15" t="s">
        <v>98</v>
      </c>
      <c r="B48" s="89">
        <f>'CNTNR COST'!G46</f>
        <v>0.4198</v>
      </c>
      <c r="C48" s="31">
        <v>0</v>
      </c>
      <c r="D48" s="31">
        <f>+$D$18</f>
        <v>0.1078</v>
      </c>
      <c r="E48" s="31">
        <f>ROUND($E$12,4)</f>
        <v>0</v>
      </c>
      <c r="F48" s="31">
        <f>ROUND($F$12,4)</f>
        <v>0.0142</v>
      </c>
      <c r="G48" s="31">
        <f t="shared" si="21"/>
        <v>0.5418</v>
      </c>
      <c r="H48" s="31">
        <f t="shared" si="18"/>
        <v>0.0191</v>
      </c>
      <c r="I48" s="31">
        <f t="shared" si="22"/>
        <v>0.5609</v>
      </c>
      <c r="J48" s="31">
        <f>J$12</f>
        <v>-0.141</v>
      </c>
      <c r="K48" s="31">
        <f>K$12</f>
        <v>0.2466</v>
      </c>
      <c r="L48" s="208">
        <f t="shared" si="19"/>
        <v>0.6665</v>
      </c>
      <c r="N48" s="101">
        <v>0.5743</v>
      </c>
      <c r="O48" s="101">
        <v>0.6165</v>
      </c>
      <c r="P48" s="211">
        <f>IF(ROUND((L48*(1-MAX_DISC)+HANDLING_ADJ)/(1-RETIAL_PRFT),2)&lt;=L48,ROUND(L48+0.01,2),ROUND((L48*(1-MAX_DISC)+HANDLING_ADJ)/(1-RETIAL_PRFT),2))</f>
        <v>0.68</v>
      </c>
      <c r="Q48" s="131">
        <v>0.6</v>
      </c>
      <c r="R48" s="146">
        <f t="shared" si="23"/>
        <v>0.09219999999999995</v>
      </c>
      <c r="S48" s="150">
        <f t="shared" si="20"/>
        <v>0.08000000000000007</v>
      </c>
      <c r="T48" s="156">
        <v>0.65</v>
      </c>
    </row>
    <row r="49" spans="1:19" ht="14.25" thickBot="1" thickTop="1">
      <c r="A49" s="29" t="s">
        <v>22</v>
      </c>
      <c r="B49" s="32"/>
      <c r="D49" s="32"/>
      <c r="E49" s="32"/>
      <c r="N49" s="98"/>
      <c r="O49" s="98"/>
      <c r="P49" s="150"/>
      <c r="Q49" s="134"/>
      <c r="R49" s="146" t="s">
        <v>8</v>
      </c>
      <c r="S49" s="150" t="s">
        <v>8</v>
      </c>
    </row>
    <row r="50" spans="1:20" ht="14.25" thickBot="1" thickTop="1">
      <c r="A50" s="15" t="s">
        <v>10</v>
      </c>
      <c r="B50" s="87">
        <f>'CNTNR COST'!G48</f>
        <v>1.2108</v>
      </c>
      <c r="C50" s="30">
        <v>0</v>
      </c>
      <c r="D50" s="30">
        <f>+$D$10</f>
        <v>-0.0936</v>
      </c>
      <c r="E50" s="30">
        <f>ROUND($E$12*4,4)</f>
        <v>0</v>
      </c>
      <c r="F50" s="30">
        <f>ROUND($F$12*4,4)</f>
        <v>0.0568</v>
      </c>
      <c r="G50" s="30">
        <f>ROUND(SUM(B50:F50),4)</f>
        <v>1.174</v>
      </c>
      <c r="H50" s="30">
        <f aca="true" t="shared" si="24" ref="H50:H58">ROUND((G50/(1-$H$5))-G50,4)</f>
        <v>0.0413</v>
      </c>
      <c r="I50" s="30">
        <f>ROUND(G50+H50,4)</f>
        <v>1.2153</v>
      </c>
      <c r="J50" s="30">
        <f>ROUND(J$12*4,4)</f>
        <v>-0.564</v>
      </c>
      <c r="K50" s="30">
        <f>ROUND(K$12*4,4)</f>
        <v>0.9864</v>
      </c>
      <c r="L50" s="206">
        <f aca="true" t="shared" si="25" ref="L50:L58">ROUND(SUM(I50:K50),4)</f>
        <v>1.6377</v>
      </c>
      <c r="N50" s="99">
        <v>2.4356</v>
      </c>
      <c r="O50" s="99">
        <v>2.9391</v>
      </c>
      <c r="P50" s="209">
        <f>ROUND((L50*(1-MAX_DISC)+(4*HANDLING_ADJ))/(1-RETIAL_PRFT),2)</f>
        <v>1.47</v>
      </c>
      <c r="Q50" s="129">
        <v>2.52</v>
      </c>
      <c r="R50" s="146">
        <f>L50-N50</f>
        <v>-0.7979</v>
      </c>
      <c r="S50" s="150">
        <f aca="true" t="shared" si="26" ref="S50:S58">P50-Q50</f>
        <v>-1.05</v>
      </c>
      <c r="T50" s="154">
        <v>3.03</v>
      </c>
    </row>
    <row r="51" spans="1:20" ht="14.25" thickBot="1" thickTop="1">
      <c r="A51" s="15" t="s">
        <v>67</v>
      </c>
      <c r="B51" s="88">
        <f>'CNTNR COST'!G49</f>
        <v>0.6054</v>
      </c>
      <c r="C51" s="23">
        <v>0</v>
      </c>
      <c r="D51" s="23">
        <f>+$D$11</f>
        <v>-0.0324</v>
      </c>
      <c r="E51" s="23">
        <f>ROUND($E$12*2,4)</f>
        <v>0</v>
      </c>
      <c r="F51" s="23">
        <f>ROUND($F$12*2,4)</f>
        <v>0.0284</v>
      </c>
      <c r="G51" s="23">
        <f aca="true" t="shared" si="27" ref="G51:G58">ROUND(SUM(B51:F51),4)</f>
        <v>0.6014</v>
      </c>
      <c r="H51" s="23">
        <f t="shared" si="24"/>
        <v>0.0212</v>
      </c>
      <c r="I51" s="23">
        <f aca="true" t="shared" si="28" ref="I51:I58">ROUND(G51+H51,4)</f>
        <v>0.6226</v>
      </c>
      <c r="J51" s="23">
        <f>ROUND(J$12*2,4)</f>
        <v>-0.282</v>
      </c>
      <c r="K51" s="23">
        <f>ROUND(K$12*2,4)</f>
        <v>0.4932</v>
      </c>
      <c r="L51" s="207">
        <f t="shared" si="25"/>
        <v>0.8338</v>
      </c>
      <c r="N51" s="100">
        <v>1.2496</v>
      </c>
      <c r="O51" s="100">
        <v>1.5027</v>
      </c>
      <c r="P51" s="210">
        <f>IF(ROUND((L51*(1-MAX_DISC)+(2*HANDLING_ADJ))/(1-RETIAL_PRFT),2)&lt;=L51,ROUND(L51+0.01,2),ROUND((L51*(1-MAX_DISC)+(2*HANDLING_ADJ))/(1-RETIAL_PRFT),2))</f>
        <v>0.84</v>
      </c>
      <c r="Q51" s="130">
        <v>1.29</v>
      </c>
      <c r="R51" s="146">
        <f aca="true" t="shared" si="29" ref="R51:R58">L51-N51</f>
        <v>-0.41580000000000006</v>
      </c>
      <c r="S51" s="150">
        <f t="shared" si="26"/>
        <v>-0.45000000000000007</v>
      </c>
      <c r="T51" s="155">
        <v>1.54</v>
      </c>
    </row>
    <row r="52" spans="1:20" ht="14.25" thickBot="1" thickTop="1">
      <c r="A52" s="15" t="s">
        <v>12</v>
      </c>
      <c r="B52" s="88">
        <f>'CNTNR COST'!G50</f>
        <v>0.3027</v>
      </c>
      <c r="C52" s="23">
        <v>0</v>
      </c>
      <c r="D52" s="23">
        <f>+$D$12</f>
        <v>0.0264</v>
      </c>
      <c r="E52" s="23">
        <f>ROUND(ENERGY_ADDON,4)</f>
        <v>0</v>
      </c>
      <c r="F52" s="23">
        <f>ROUND(COST_UPDATE_ADJ,4)</f>
        <v>0.0142</v>
      </c>
      <c r="G52" s="23">
        <f t="shared" si="27"/>
        <v>0.3433</v>
      </c>
      <c r="H52" s="23">
        <f t="shared" si="24"/>
        <v>0.0121</v>
      </c>
      <c r="I52" s="23">
        <f t="shared" si="28"/>
        <v>0.3554</v>
      </c>
      <c r="J52" s="23">
        <f>$J$12</f>
        <v>-0.141</v>
      </c>
      <c r="K52" s="23">
        <f>$K$12</f>
        <v>0.2466</v>
      </c>
      <c r="L52" s="207">
        <f t="shared" si="25"/>
        <v>0.461</v>
      </c>
      <c r="N52" s="100">
        <v>0.6385</v>
      </c>
      <c r="O52" s="100">
        <v>0.8058</v>
      </c>
      <c r="P52" s="210">
        <f>IF(ROUND((L52*(1-MAX_DISC)+HANDLING_ADJ)/(1-RETIAL_PRFT),2)&lt;=L52,ROUND(L52+0.01,2),ROUND((L52*(1-MAX_DISC)++HANDLING_ADJ)/(1-RETIAL_PRFT),2))</f>
        <v>0.47</v>
      </c>
      <c r="Q52" s="130">
        <v>0.66</v>
      </c>
      <c r="R52" s="146">
        <f t="shared" si="29"/>
        <v>-0.17749999999999994</v>
      </c>
      <c r="S52" s="150">
        <f t="shared" si="26"/>
        <v>-0.19000000000000006</v>
      </c>
      <c r="T52" s="155">
        <v>0.82</v>
      </c>
    </row>
    <row r="53" spans="1:20" ht="14.25" thickBot="1" thickTop="1">
      <c r="A53" s="15" t="s">
        <v>13</v>
      </c>
      <c r="B53" s="88">
        <f>'CNTNR COST'!G51</f>
        <v>0.1514</v>
      </c>
      <c r="C53" s="23">
        <v>0</v>
      </c>
      <c r="D53" s="23">
        <f>+$D$13</f>
        <v>0.0249</v>
      </c>
      <c r="E53" s="23">
        <f>ROUND($E$12/2,4)</f>
        <v>0</v>
      </c>
      <c r="F53" s="23">
        <f>ROUND($F$12/2,4)</f>
        <v>0.0071</v>
      </c>
      <c r="G53" s="23">
        <f t="shared" si="27"/>
        <v>0.1834</v>
      </c>
      <c r="H53" s="23">
        <f t="shared" si="24"/>
        <v>0.0065</v>
      </c>
      <c r="I53" s="23">
        <f t="shared" si="28"/>
        <v>0.1899</v>
      </c>
      <c r="J53" s="23">
        <f>ROUND(J$12/2,4)</f>
        <v>-0.0705</v>
      </c>
      <c r="K53" s="23">
        <f>ROUND(K$12/2,4)</f>
        <v>0.1233</v>
      </c>
      <c r="L53" s="207">
        <f t="shared" si="25"/>
        <v>0.2427</v>
      </c>
      <c r="N53" s="100">
        <v>0.3387</v>
      </c>
      <c r="O53" s="100">
        <v>0.4625</v>
      </c>
      <c r="P53" s="210">
        <f>IF(ROUND((L53*(1-MAX_DISC)+(HANDLING_ADJ/2))/(1-RETIAL_PRFT),2)&lt;=L53,ROUND(L53+0.01,2),ROUND((L53*(1-MAX_DISC)+(HANDLING_ADJ/2))/(1-RETIAL_PRFT),2))</f>
        <v>0.25</v>
      </c>
      <c r="Q53" s="130">
        <v>0.35</v>
      </c>
      <c r="R53" s="146">
        <f t="shared" si="29"/>
        <v>-0.096</v>
      </c>
      <c r="S53" s="150">
        <f t="shared" si="26"/>
        <v>-0.09999999999999998</v>
      </c>
      <c r="T53" s="155">
        <v>0.47</v>
      </c>
    </row>
    <row r="54" spans="1:20" ht="14.25" thickBot="1" thickTop="1">
      <c r="A54" s="15" t="s">
        <v>189</v>
      </c>
      <c r="B54" s="88">
        <f>'CNTNR COST'!G52</f>
        <v>0.1503</v>
      </c>
      <c r="C54" s="23"/>
      <c r="D54" s="23">
        <f>+$D$14</f>
        <v>0.0194</v>
      </c>
      <c r="E54" s="23">
        <f>ROUND($E$12/32*12,4)</f>
        <v>0</v>
      </c>
      <c r="F54" s="23">
        <f>ROUND($F$12/32*12,4)</f>
        <v>0.0053</v>
      </c>
      <c r="G54" s="23">
        <f t="shared" si="27"/>
        <v>0.175</v>
      </c>
      <c r="H54" s="23">
        <f t="shared" si="24"/>
        <v>0.0062</v>
      </c>
      <c r="I54" s="23">
        <f t="shared" si="28"/>
        <v>0.1812</v>
      </c>
      <c r="J54" s="23">
        <f>ROUND(J52/32*12,4)</f>
        <v>-0.0529</v>
      </c>
      <c r="K54" s="23">
        <f>ROUND(K52/32*12,4)</f>
        <v>0.0925</v>
      </c>
      <c r="L54" s="207">
        <f>ROUND(SUM(I54:K54),4)</f>
        <v>0.2208</v>
      </c>
      <c r="N54" s="100"/>
      <c r="O54" s="100"/>
      <c r="P54" s="210">
        <f>IF(ROUND((L54*(1-MAX_DISC)+(HANDLING_ADJ*0.375))/(1-RETIAL_PRFT),2)&lt;=L54,ROUND(L54+0.01,2),ROUND((L54*(1-MAX_DISC)+(HANDLING_ADJ*0.375))/(1-RETIAL_PRFT),2))</f>
        <v>0.23</v>
      </c>
      <c r="Q54" s="130"/>
      <c r="T54" s="155"/>
    </row>
    <row r="55" spans="1:20" ht="14.25" thickBot="1" thickTop="1">
      <c r="A55" s="15" t="s">
        <v>68</v>
      </c>
      <c r="B55" s="88">
        <f>'CNTNR COST'!G53</f>
        <v>0.149</v>
      </c>
      <c r="C55" s="23">
        <v>0</v>
      </c>
      <c r="D55" s="23">
        <f>+$D$15</f>
        <v>0.0139</v>
      </c>
      <c r="E55" s="23">
        <f>ROUND($E$12/32*10,4)</f>
        <v>0</v>
      </c>
      <c r="F55" s="23">
        <f>ROUND($F$12/32*10,4)</f>
        <v>0.0044</v>
      </c>
      <c r="G55" s="23">
        <f t="shared" si="27"/>
        <v>0.1673</v>
      </c>
      <c r="H55" s="23">
        <f t="shared" si="24"/>
        <v>0.0059</v>
      </c>
      <c r="I55" s="23">
        <f t="shared" si="28"/>
        <v>0.1732</v>
      </c>
      <c r="J55" s="23">
        <f>ROUND(J52/32*10,4)</f>
        <v>-0.0441</v>
      </c>
      <c r="K55" s="23">
        <f>ROUND(K52/32*10,4)</f>
        <v>0.0771</v>
      </c>
      <c r="L55" s="207">
        <f t="shared" si="25"/>
        <v>0.2062</v>
      </c>
      <c r="N55" s="100">
        <v>0.2266</v>
      </c>
      <c r="O55" s="100">
        <v>0.2619</v>
      </c>
      <c r="P55" s="210">
        <f>IF(ROUND((L55*(1-MAX_DISC)+(HANDLING_ADJ*0.3125))/(1-RETIAL_PRFT),2)&lt;=L55,ROUND(L55+0.01,2),ROUND((L55*(1-MAX_DISC)+(HANDLING_ADJ*0.3125))/(1-RETIAL_PRFT),2))</f>
        <v>0.22</v>
      </c>
      <c r="Q55" s="130">
        <v>0.23</v>
      </c>
      <c r="R55" s="146">
        <f t="shared" si="29"/>
        <v>-0.0204</v>
      </c>
      <c r="S55" s="150">
        <f t="shared" si="26"/>
        <v>-0.010000000000000009</v>
      </c>
      <c r="T55" s="155">
        <v>0.27</v>
      </c>
    </row>
    <row r="56" spans="1:20" ht="14.25" thickBot="1" thickTop="1">
      <c r="A56" s="15" t="s">
        <v>69</v>
      </c>
      <c r="B56" s="88">
        <f>'CNTNR COST'!G54</f>
        <v>0.0757</v>
      </c>
      <c r="C56" s="23">
        <v>0</v>
      </c>
      <c r="D56" s="23">
        <f>+$D$16</f>
        <v>0.0139</v>
      </c>
      <c r="E56" s="23">
        <f>ROUND($E$12/4,4)</f>
        <v>0</v>
      </c>
      <c r="F56" s="23">
        <f>ROUND($F$12/4,4)</f>
        <v>0.0036</v>
      </c>
      <c r="G56" s="23">
        <f t="shared" si="27"/>
        <v>0.0932</v>
      </c>
      <c r="H56" s="23">
        <f t="shared" si="24"/>
        <v>0.0033</v>
      </c>
      <c r="I56" s="23">
        <f t="shared" si="28"/>
        <v>0.0965</v>
      </c>
      <c r="J56" s="23">
        <f>ROUND(J$12/4,4)</f>
        <v>-0.0353</v>
      </c>
      <c r="K56" s="23">
        <f>ROUND(K$12/4,4)</f>
        <v>0.0617</v>
      </c>
      <c r="L56" s="207">
        <f t="shared" si="25"/>
        <v>0.1229</v>
      </c>
      <c r="N56" s="100">
        <v>0.1844</v>
      </c>
      <c r="O56" s="100">
        <v>0.2101</v>
      </c>
      <c r="P56" s="210">
        <f>IF(ROUND((L56*(1-MAX_DISC)+(HANDLING_ADJ/4))/(1-RETIAL_PRFT),2)&lt;=L56,ROUND(L56+0.01,2),ROUND((L56*(1-MAX_DISC)+(HANDLING_ADJ/4))/(1-RETIAL_PRFT),2))</f>
        <v>0.13</v>
      </c>
      <c r="Q56" s="130">
        <v>0.19</v>
      </c>
      <c r="R56" s="146">
        <f t="shared" si="29"/>
        <v>-0.06150000000000001</v>
      </c>
      <c r="S56" s="150">
        <f t="shared" si="26"/>
        <v>-0.06</v>
      </c>
      <c r="T56" s="155">
        <v>0.22</v>
      </c>
    </row>
    <row r="57" spans="1:20" ht="14.25" thickBot="1" thickTop="1">
      <c r="A57" s="15" t="s">
        <v>70</v>
      </c>
      <c r="B57" s="88">
        <f>'CNTNR COST'!G55</f>
        <v>0.0659</v>
      </c>
      <c r="C57" s="23">
        <v>0</v>
      </c>
      <c r="D57" s="23">
        <f>+$D$17</f>
        <v>0.02</v>
      </c>
      <c r="E57" s="23">
        <f>ROUND($E$12/8,4)</f>
        <v>0</v>
      </c>
      <c r="F57" s="23">
        <f>ROUND($F$12/8,4)</f>
        <v>0.0018</v>
      </c>
      <c r="G57" s="23">
        <f t="shared" si="27"/>
        <v>0.0877</v>
      </c>
      <c r="H57" s="23">
        <f t="shared" si="24"/>
        <v>0.0031</v>
      </c>
      <c r="I57" s="23">
        <f t="shared" si="28"/>
        <v>0.0908</v>
      </c>
      <c r="J57" s="23">
        <f>ROUND(J$12/8,4)</f>
        <v>-0.0176</v>
      </c>
      <c r="K57" s="23">
        <f>ROUND(K$12/8,4)</f>
        <v>0.0308</v>
      </c>
      <c r="L57" s="207">
        <f t="shared" si="25"/>
        <v>0.104</v>
      </c>
      <c r="N57" s="100">
        <v>0.1095</v>
      </c>
      <c r="O57" s="100">
        <v>0.1182</v>
      </c>
      <c r="P57" s="210">
        <f>IF(ROUND((L57*(1-MAX_DISC)+(HANDLING_ADJ/8))/(1-RETIAL_PRFT),2)&lt;=L57,ROUND(L57+0.01,2),ROUND((L57*(1-MAX_DISC)+(HANDLING_ADJ/8))/(1-RETIAL_PRFT),2))</f>
        <v>0.11</v>
      </c>
      <c r="Q57" s="130">
        <v>0.11</v>
      </c>
      <c r="R57" s="146">
        <f t="shared" si="29"/>
        <v>-0.005500000000000005</v>
      </c>
      <c r="S57" s="150">
        <f t="shared" si="26"/>
        <v>0</v>
      </c>
      <c r="T57" s="155">
        <v>0.12</v>
      </c>
    </row>
    <row r="58" spans="1:20" ht="14.25" thickBot="1" thickTop="1">
      <c r="A58" s="15" t="s">
        <v>98</v>
      </c>
      <c r="B58" s="89">
        <f>'CNTNR COST'!G56</f>
        <v>0.4156</v>
      </c>
      <c r="C58" s="31">
        <v>0</v>
      </c>
      <c r="D58" s="31">
        <f>+$D$18</f>
        <v>0.1078</v>
      </c>
      <c r="E58" s="31">
        <f>ROUND($E$12,4)</f>
        <v>0</v>
      </c>
      <c r="F58" s="31">
        <f>ROUND($F$12,4)</f>
        <v>0.0142</v>
      </c>
      <c r="G58" s="31">
        <f t="shared" si="27"/>
        <v>0.5376</v>
      </c>
      <c r="H58" s="31">
        <f t="shared" si="24"/>
        <v>0.0189</v>
      </c>
      <c r="I58" s="31">
        <f t="shared" si="28"/>
        <v>0.5565</v>
      </c>
      <c r="J58" s="31">
        <f>J$12</f>
        <v>-0.141</v>
      </c>
      <c r="K58" s="31">
        <f>K$12</f>
        <v>0.2466</v>
      </c>
      <c r="L58" s="208">
        <f t="shared" si="25"/>
        <v>0.6621</v>
      </c>
      <c r="N58" s="101">
        <v>0.6505</v>
      </c>
      <c r="O58" s="101">
        <v>0.7726</v>
      </c>
      <c r="P58" s="211">
        <f>IF(ROUND((L58*(1-MAX_DISC)+HANDLING_ADJ)/(1-RETIAL_PRFT),2)&lt;=L58,ROUND(L58+0.01,2),ROUND((L58*(1-MAX_DISC)+HANDLING_ADJ)/(1-RETIAL_PRFT),2))</f>
        <v>0.67</v>
      </c>
      <c r="Q58" s="131">
        <v>0.67</v>
      </c>
      <c r="R58" s="146">
        <f t="shared" si="29"/>
        <v>0.011600000000000055</v>
      </c>
      <c r="S58" s="150">
        <f t="shared" si="26"/>
        <v>0</v>
      </c>
      <c r="T58" s="156">
        <v>0.79</v>
      </c>
    </row>
    <row r="59" spans="1:19" ht="14.25" thickBot="1" thickTop="1">
      <c r="A59" s="15" t="s">
        <v>56</v>
      </c>
      <c r="B59" s="32"/>
      <c r="D59" s="32"/>
      <c r="E59" s="32"/>
      <c r="N59" s="98"/>
      <c r="O59" s="98"/>
      <c r="P59" s="150"/>
      <c r="Q59" s="134"/>
      <c r="R59" s="146" t="s">
        <v>8</v>
      </c>
      <c r="S59" s="150" t="s">
        <v>8</v>
      </c>
    </row>
    <row r="60" spans="1:20" ht="14.25" thickBot="1" thickTop="1">
      <c r="A60" s="15" t="s">
        <v>10</v>
      </c>
      <c r="B60" s="87">
        <f>'CNTNR COST'!G58</f>
        <v>1.2108</v>
      </c>
      <c r="C60" s="30">
        <v>0</v>
      </c>
      <c r="D60" s="30">
        <f>+$D$10</f>
        <v>-0.0936</v>
      </c>
      <c r="E60" s="30">
        <f>ROUND($E$12*4,4)</f>
        <v>0</v>
      </c>
      <c r="F60" s="30">
        <f>ROUND($F$12*4,4)</f>
        <v>0.0568</v>
      </c>
      <c r="G60" s="30">
        <f>ROUND(SUM(B60:F60),4)</f>
        <v>1.174</v>
      </c>
      <c r="H60" s="30">
        <f aca="true" t="shared" si="30" ref="H60:H68">ROUND((G60/(1-$H$5))-G60,4)</f>
        <v>0.0413</v>
      </c>
      <c r="I60" s="30">
        <f>ROUND(G60+H60,4)</f>
        <v>1.2153</v>
      </c>
      <c r="J60" s="30">
        <f>ROUND(J$12*4,4)</f>
        <v>-0.564</v>
      </c>
      <c r="K60" s="30">
        <f>ROUND(K$12*4,4)</f>
        <v>0.9864</v>
      </c>
      <c r="L60" s="206">
        <f aca="true" t="shared" si="31" ref="L60:L68">ROUND(SUM(I60:K60),4)</f>
        <v>1.6377</v>
      </c>
      <c r="N60" s="99">
        <v>2.2967</v>
      </c>
      <c r="O60" s="99">
        <v>2.6181</v>
      </c>
      <c r="P60" s="209">
        <f>ROUND((L60*(1-MAX_DISC)+(4*HANDLING_ADJ))/(1-RETIAL_PRFT),2)</f>
        <v>1.47</v>
      </c>
      <c r="Q60" s="129">
        <v>2.4</v>
      </c>
      <c r="R60" s="146">
        <f>L60-N60</f>
        <v>-0.659</v>
      </c>
      <c r="S60" s="150">
        <f aca="true" t="shared" si="32" ref="S60:S68">P60-Q60</f>
        <v>-0.9299999999999999</v>
      </c>
      <c r="T60" s="154">
        <v>2.74</v>
      </c>
    </row>
    <row r="61" spans="1:20" ht="14.25" thickBot="1" thickTop="1">
      <c r="A61" s="15" t="s">
        <v>67</v>
      </c>
      <c r="B61" s="88">
        <f>'CNTNR COST'!G59</f>
        <v>0.6054</v>
      </c>
      <c r="C61" s="23">
        <v>0</v>
      </c>
      <c r="D61" s="23">
        <f>+$D$11</f>
        <v>-0.0324</v>
      </c>
      <c r="E61" s="23">
        <f>ROUND($E$12*2,4)</f>
        <v>0</v>
      </c>
      <c r="F61" s="23">
        <f>ROUND($F$12*2,4)</f>
        <v>0.0284</v>
      </c>
      <c r="G61" s="23">
        <f aca="true" t="shared" si="33" ref="G61:G68">ROUND(SUM(B61:F61),4)</f>
        <v>0.6014</v>
      </c>
      <c r="H61" s="23">
        <f t="shared" si="30"/>
        <v>0.0212</v>
      </c>
      <c r="I61" s="23">
        <f aca="true" t="shared" si="34" ref="I61:I68">ROUND(G61+H61,4)</f>
        <v>0.6226</v>
      </c>
      <c r="J61" s="23">
        <f>ROUND(J$12*2,4)</f>
        <v>-0.282</v>
      </c>
      <c r="K61" s="23">
        <f>ROUND(K$12*2,4)</f>
        <v>0.4932</v>
      </c>
      <c r="L61" s="207">
        <f t="shared" si="31"/>
        <v>0.8338</v>
      </c>
      <c r="N61" s="100">
        <v>1.1801</v>
      </c>
      <c r="O61" s="100">
        <v>1.3422</v>
      </c>
      <c r="P61" s="210">
        <f>IF(ROUND((L61*(1-MAX_DISC)+(2*HANDLING_ADJ))/(1-RETIAL_PRFT),2)&lt;=L61,ROUND(L61+0.01,2),ROUND((L61*(1-MAX_DISC)+(2*HANDLING_ADJ))/(1-RETIAL_PRFT),2))</f>
        <v>0.84</v>
      </c>
      <c r="Q61" s="130">
        <v>1.23</v>
      </c>
      <c r="R61" s="146">
        <f aca="true" t="shared" si="35" ref="R61:R68">L61-N61</f>
        <v>-0.34629999999999994</v>
      </c>
      <c r="S61" s="150">
        <f t="shared" si="32"/>
        <v>-0.39</v>
      </c>
      <c r="T61" s="155">
        <v>1.4</v>
      </c>
    </row>
    <row r="62" spans="1:20" ht="14.25" thickBot="1" thickTop="1">
      <c r="A62" s="15" t="s">
        <v>12</v>
      </c>
      <c r="B62" s="88">
        <f>'CNTNR COST'!G60</f>
        <v>0.3027</v>
      </c>
      <c r="C62" s="23">
        <v>0</v>
      </c>
      <c r="D62" s="23">
        <f>+$D$12</f>
        <v>0.0264</v>
      </c>
      <c r="E62" s="23">
        <f>ROUND(ENERGY_ADDON,4)</f>
        <v>0</v>
      </c>
      <c r="F62" s="23">
        <f>ROUND(COST_UPDATE_ADJ,4)</f>
        <v>0.0142</v>
      </c>
      <c r="G62" s="23">
        <f t="shared" si="33"/>
        <v>0.3433</v>
      </c>
      <c r="H62" s="23">
        <f t="shared" si="30"/>
        <v>0.0121</v>
      </c>
      <c r="I62" s="23">
        <f t="shared" si="34"/>
        <v>0.3554</v>
      </c>
      <c r="J62" s="23">
        <f>$J$12</f>
        <v>-0.141</v>
      </c>
      <c r="K62" s="23">
        <f>$K$12</f>
        <v>0.2466</v>
      </c>
      <c r="L62" s="207">
        <f t="shared" si="31"/>
        <v>0.461</v>
      </c>
      <c r="N62" s="100">
        <v>0.6038</v>
      </c>
      <c r="O62" s="100">
        <v>0.7256</v>
      </c>
      <c r="P62" s="210">
        <f>IF(ROUND((L62*(1-MAX_DISC)+HANDLING_ADJ)/(1-RETIAL_PRFT),2)&lt;=L62,ROUND(L62+0.01,2),ROUND((L62*(1-MAX_DISC)++HANDLING_ADJ)/(1-RETIAL_PRFT),2))</f>
        <v>0.47</v>
      </c>
      <c r="Q62" s="130">
        <v>0.63</v>
      </c>
      <c r="R62" s="146">
        <f t="shared" si="35"/>
        <v>-0.14279999999999998</v>
      </c>
      <c r="S62" s="150">
        <f t="shared" si="32"/>
        <v>-0.16000000000000003</v>
      </c>
      <c r="T62" s="155">
        <v>0.75</v>
      </c>
    </row>
    <row r="63" spans="1:20" ht="14.25" thickBot="1" thickTop="1">
      <c r="A63" s="15" t="s">
        <v>13</v>
      </c>
      <c r="B63" s="88">
        <f>'CNTNR COST'!G61</f>
        <v>0.1514</v>
      </c>
      <c r="C63" s="23">
        <v>0</v>
      </c>
      <c r="D63" s="23">
        <f>+$D$13</f>
        <v>0.0249</v>
      </c>
      <c r="E63" s="23">
        <f>ROUND($E$12/2,4)</f>
        <v>0</v>
      </c>
      <c r="F63" s="23">
        <f>ROUND($F$12/2,4)</f>
        <v>0.0071</v>
      </c>
      <c r="G63" s="23">
        <f t="shared" si="33"/>
        <v>0.1834</v>
      </c>
      <c r="H63" s="23">
        <f t="shared" si="30"/>
        <v>0.0065</v>
      </c>
      <c r="I63" s="23">
        <f t="shared" si="34"/>
        <v>0.1899</v>
      </c>
      <c r="J63" s="23">
        <f>ROUND(J$12/2,4)</f>
        <v>-0.0705</v>
      </c>
      <c r="K63" s="23">
        <f>ROUND(K$12/2,4)</f>
        <v>0.1233</v>
      </c>
      <c r="L63" s="207">
        <f t="shared" si="31"/>
        <v>0.2427</v>
      </c>
      <c r="N63" s="100">
        <v>0.3213</v>
      </c>
      <c r="O63" s="100">
        <v>0.4224</v>
      </c>
      <c r="P63" s="210">
        <f>IF(ROUND((L63*(1-MAX_DISC)+(HANDLING_ADJ/2))/(1-RETIAL_PRFT),2)&lt;=L63,ROUND(L63+0.01,2),ROUND((L63*(1-MAX_DISC)+(HANDLING_ADJ/2))/(1-RETIAL_PRFT),2))</f>
        <v>0.25</v>
      </c>
      <c r="Q63" s="130">
        <v>0.33</v>
      </c>
      <c r="R63" s="146">
        <f t="shared" si="35"/>
        <v>-0.07859999999999998</v>
      </c>
      <c r="S63" s="150">
        <f t="shared" si="32"/>
        <v>-0.08000000000000002</v>
      </c>
      <c r="T63" s="155">
        <v>0.43</v>
      </c>
    </row>
    <row r="64" spans="1:20" ht="14.25" thickBot="1" thickTop="1">
      <c r="A64" s="15" t="s">
        <v>189</v>
      </c>
      <c r="B64" s="88">
        <f>'CNTNR COST'!G62</f>
        <v>0.1503</v>
      </c>
      <c r="C64" s="23"/>
      <c r="D64" s="23">
        <f>+$D$14</f>
        <v>0.0194</v>
      </c>
      <c r="E64" s="23">
        <f>ROUND($E$12/32*12,4)</f>
        <v>0</v>
      </c>
      <c r="F64" s="23">
        <f>ROUND($F$12/32*12,4)</f>
        <v>0.0053</v>
      </c>
      <c r="G64" s="23">
        <f t="shared" si="33"/>
        <v>0.175</v>
      </c>
      <c r="H64" s="23">
        <f t="shared" si="30"/>
        <v>0.0062</v>
      </c>
      <c r="I64" s="23">
        <f t="shared" si="34"/>
        <v>0.1812</v>
      </c>
      <c r="J64" s="23">
        <f>ROUND(J62/32*12,4)</f>
        <v>-0.0529</v>
      </c>
      <c r="K64" s="23">
        <f>ROUND(K62/32*12,4)</f>
        <v>0.0925</v>
      </c>
      <c r="L64" s="207">
        <f>ROUND(SUM(I64:K64),4)</f>
        <v>0.2208</v>
      </c>
      <c r="N64" s="100"/>
      <c r="O64" s="100"/>
      <c r="P64" s="210">
        <f>IF(ROUND((L64*(1-MAX_DISC)+(HANDLING_ADJ*0.375))/(1-RETIAL_PRFT),2)&lt;=L64,ROUND(L64+0.01,2),ROUND((L64*(1-MAX_DISC)+(HANDLING_ADJ*0.375))/(1-RETIAL_PRFT),2))</f>
        <v>0.23</v>
      </c>
      <c r="Q64" s="130"/>
      <c r="T64" s="155"/>
    </row>
    <row r="65" spans="1:20" ht="14.25" thickBot="1" thickTop="1">
      <c r="A65" s="15" t="s">
        <v>68</v>
      </c>
      <c r="B65" s="88">
        <f>'CNTNR COST'!G63</f>
        <v>0.149</v>
      </c>
      <c r="C65" s="23">
        <v>0</v>
      </c>
      <c r="D65" s="23">
        <f>+$D$15</f>
        <v>0.0139</v>
      </c>
      <c r="E65" s="23">
        <f>ROUND($E$12/32*10,4)</f>
        <v>0</v>
      </c>
      <c r="F65" s="23">
        <f>ROUND($F$12/32*10,4)</f>
        <v>0.0044</v>
      </c>
      <c r="G65" s="23">
        <f t="shared" si="33"/>
        <v>0.1673</v>
      </c>
      <c r="H65" s="23">
        <f t="shared" si="30"/>
        <v>0.0059</v>
      </c>
      <c r="I65" s="23">
        <f t="shared" si="34"/>
        <v>0.1732</v>
      </c>
      <c r="J65" s="23">
        <f>ROUND(J62/32*10,4)</f>
        <v>-0.0441</v>
      </c>
      <c r="K65" s="23">
        <f>ROUND(K62/32*10,4)</f>
        <v>0.0771</v>
      </c>
      <c r="L65" s="207">
        <f t="shared" si="31"/>
        <v>0.2062</v>
      </c>
      <c r="N65" s="100">
        <v>0.2158</v>
      </c>
      <c r="O65" s="100">
        <v>0.2369</v>
      </c>
      <c r="P65" s="210">
        <f>IF(ROUND((L65*(1-MAX_DISC)+(HANDLING_ADJ*0.3125))/(1-RETIAL_PRFT),2)&lt;=L65,ROUND(L65+0.01,2),ROUND((L65*(1-MAX_DISC)+(HANDLING_ADJ*0.3125))/(1-RETIAL_PRFT),2))</f>
        <v>0.22</v>
      </c>
      <c r="Q65" s="130">
        <v>0.22</v>
      </c>
      <c r="R65" s="146">
        <f t="shared" si="35"/>
        <v>-0.009599999999999997</v>
      </c>
      <c r="S65" s="150">
        <f t="shared" si="32"/>
        <v>0</v>
      </c>
      <c r="T65" s="155">
        <v>0.24</v>
      </c>
    </row>
    <row r="66" spans="1:20" ht="14.25" thickBot="1" thickTop="1">
      <c r="A66" s="15" t="s">
        <v>69</v>
      </c>
      <c r="B66" s="88">
        <f>'CNTNR COST'!G64</f>
        <v>0.0757</v>
      </c>
      <c r="C66" s="23">
        <v>0</v>
      </c>
      <c r="D66" s="23">
        <f>+$D$16</f>
        <v>0.0139</v>
      </c>
      <c r="E66" s="23">
        <f>ROUND($E$12/4,4)</f>
        <v>0</v>
      </c>
      <c r="F66" s="23">
        <f>ROUND($F$12/4,4)</f>
        <v>0.0036</v>
      </c>
      <c r="G66" s="23">
        <f t="shared" si="33"/>
        <v>0.0932</v>
      </c>
      <c r="H66" s="23">
        <f t="shared" si="30"/>
        <v>0.0033</v>
      </c>
      <c r="I66" s="23">
        <f t="shared" si="34"/>
        <v>0.0965</v>
      </c>
      <c r="J66" s="23">
        <f>ROUND(J$12/4,4)</f>
        <v>-0.0353</v>
      </c>
      <c r="K66" s="23">
        <f>ROUND(K$12/4,4)</f>
        <v>0.0617</v>
      </c>
      <c r="L66" s="207">
        <f t="shared" si="31"/>
        <v>0.1229</v>
      </c>
      <c r="N66" s="100">
        <v>0.1757</v>
      </c>
      <c r="O66" s="100">
        <v>0.19</v>
      </c>
      <c r="P66" s="210">
        <f>IF(ROUND((L66*(1-MAX_DISC)+(HANDLING_ADJ/4))/(1-RETIAL_PRFT),2)&lt;=L66,ROUND(L66+0.01,2),ROUND((L66*(1-MAX_DISC)+(HANDLING_ADJ/4))/(1-RETIAL_PRFT),2))</f>
        <v>0.13</v>
      </c>
      <c r="Q66" s="130">
        <v>0.18</v>
      </c>
      <c r="R66" s="146">
        <f t="shared" si="35"/>
        <v>-0.0528</v>
      </c>
      <c r="S66" s="150">
        <f t="shared" si="32"/>
        <v>-0.04999999999999999</v>
      </c>
      <c r="T66" s="155">
        <v>0.19</v>
      </c>
    </row>
    <row r="67" spans="1:20" ht="14.25" thickBot="1" thickTop="1">
      <c r="A67" s="15" t="s">
        <v>70</v>
      </c>
      <c r="B67" s="88">
        <f>'CNTNR COST'!G65</f>
        <v>0.0659</v>
      </c>
      <c r="C67" s="23">
        <v>0</v>
      </c>
      <c r="D67" s="23">
        <f>+$D$17</f>
        <v>0.02</v>
      </c>
      <c r="E67" s="23">
        <f>ROUND($E$12/8,4)</f>
        <v>0</v>
      </c>
      <c r="F67" s="23">
        <f>ROUND($F$12/8,4)</f>
        <v>0.0018</v>
      </c>
      <c r="G67" s="23">
        <f t="shared" si="33"/>
        <v>0.0877</v>
      </c>
      <c r="H67" s="23">
        <f t="shared" si="30"/>
        <v>0.0031</v>
      </c>
      <c r="I67" s="23">
        <f t="shared" si="34"/>
        <v>0.0908</v>
      </c>
      <c r="J67" s="23">
        <f>ROUND(J$12/8,4)</f>
        <v>-0.0176</v>
      </c>
      <c r="K67" s="23">
        <f>ROUND(K$12/8,4)</f>
        <v>0.0308</v>
      </c>
      <c r="L67" s="207">
        <f t="shared" si="31"/>
        <v>0.104</v>
      </c>
      <c r="N67" s="100">
        <v>0.1051</v>
      </c>
      <c r="O67" s="100">
        <v>0.1081</v>
      </c>
      <c r="P67" s="210">
        <f>IF(ROUND((L67*(1-MAX_DISC)+(HANDLING_ADJ/8))/(1-RETIAL_PRFT),2)&lt;=L67,ROUND(L67+0.01,2),ROUND((L67*(1-MAX_DISC)+(HANDLING_ADJ/8))/(1-RETIAL_PRFT),2))</f>
        <v>0.11</v>
      </c>
      <c r="Q67" s="130">
        <v>0.11</v>
      </c>
      <c r="R67" s="146">
        <f t="shared" si="35"/>
        <v>-0.0011000000000000038</v>
      </c>
      <c r="S67" s="150">
        <f t="shared" si="32"/>
        <v>0</v>
      </c>
      <c r="T67" s="155">
        <v>0.11</v>
      </c>
    </row>
    <row r="68" spans="1:20" ht="14.25" thickBot="1" thickTop="1">
      <c r="A68" s="15" t="s">
        <v>98</v>
      </c>
      <c r="B68" s="89">
        <f>'CNTNR COST'!G66</f>
        <v>0.4156</v>
      </c>
      <c r="C68" s="31">
        <v>0</v>
      </c>
      <c r="D68" s="31">
        <f>+$D$18</f>
        <v>0.1078</v>
      </c>
      <c r="E68" s="31">
        <f>ROUND($E$12,4)</f>
        <v>0</v>
      </c>
      <c r="F68" s="31">
        <f>ROUND($F$12,4)</f>
        <v>0.0142</v>
      </c>
      <c r="G68" s="31">
        <f t="shared" si="33"/>
        <v>0.5376</v>
      </c>
      <c r="H68" s="31">
        <f t="shared" si="30"/>
        <v>0.0189</v>
      </c>
      <c r="I68" s="31">
        <f t="shared" si="34"/>
        <v>0.5565</v>
      </c>
      <c r="J68" s="31">
        <f>J$12</f>
        <v>-0.141</v>
      </c>
      <c r="K68" s="31">
        <f>K$12</f>
        <v>0.2466</v>
      </c>
      <c r="L68" s="208">
        <f t="shared" si="31"/>
        <v>0.6621</v>
      </c>
      <c r="N68" s="101">
        <v>0.6158</v>
      </c>
      <c r="O68" s="101">
        <v>0.6924</v>
      </c>
      <c r="P68" s="211">
        <f>IF(ROUND((L68*(1-MAX_DISC)+HANDLING_ADJ)/(1-RETIAL_PRFT),2)&lt;=L68,ROUND(L68+0.01,2),ROUND((L68*(1-MAX_DISC)+HANDLING_ADJ)/(1-RETIAL_PRFT),2))</f>
        <v>0.67</v>
      </c>
      <c r="Q68" s="131">
        <v>0.64</v>
      </c>
      <c r="R68" s="146">
        <f t="shared" si="35"/>
        <v>0.04630000000000001</v>
      </c>
      <c r="S68" s="150">
        <f t="shared" si="32"/>
        <v>0.030000000000000027</v>
      </c>
      <c r="T68" s="156">
        <v>0.72</v>
      </c>
    </row>
    <row r="69" spans="1:19" ht="14.25" thickBot="1" thickTop="1">
      <c r="A69" s="15" t="s">
        <v>196</v>
      </c>
      <c r="B69" s="32"/>
      <c r="D69" s="32"/>
      <c r="E69" s="32"/>
      <c r="N69" s="98"/>
      <c r="O69" s="98"/>
      <c r="P69" s="150"/>
      <c r="Q69" s="134"/>
      <c r="R69" s="146" t="s">
        <v>8</v>
      </c>
      <c r="S69" s="150" t="s">
        <v>8</v>
      </c>
    </row>
    <row r="70" spans="1:20" ht="14.25" thickBot="1" thickTop="1">
      <c r="A70" s="15" t="s">
        <v>10</v>
      </c>
      <c r="B70" s="87">
        <f>'CNTNR COST'!G68</f>
        <v>1.2108</v>
      </c>
      <c r="C70" s="30">
        <v>0</v>
      </c>
      <c r="D70" s="30">
        <f>+$D$10</f>
        <v>-0.0936</v>
      </c>
      <c r="E70" s="30">
        <f>ROUND($E$12*4,4)</f>
        <v>0</v>
      </c>
      <c r="F70" s="30">
        <f>ROUND($F$12*4,4)</f>
        <v>0.0568</v>
      </c>
      <c r="G70" s="30">
        <f>ROUND(SUM(B70:F70),4)</f>
        <v>1.174</v>
      </c>
      <c r="H70" s="30">
        <f aca="true" t="shared" si="36" ref="H70:H78">ROUND((G70/(1-$H$5))-G70,4)</f>
        <v>0.0413</v>
      </c>
      <c r="I70" s="30">
        <f>ROUND(G70+H70,4)</f>
        <v>1.2153</v>
      </c>
      <c r="J70" s="30">
        <f>ROUND(J$12*4,4)</f>
        <v>-0.564</v>
      </c>
      <c r="K70" s="30">
        <f>ROUND(K$12*4,4)</f>
        <v>0.9864</v>
      </c>
      <c r="L70" s="206">
        <f aca="true" t="shared" si="37" ref="L70:L78">ROUND(SUM(I70:K70),4)</f>
        <v>1.6377</v>
      </c>
      <c r="N70" s="99">
        <v>2.2967</v>
      </c>
      <c r="O70" s="99">
        <v>2.6181</v>
      </c>
      <c r="P70" s="209">
        <f>ROUND((L70*(1-MAX_DISC)+(4*HANDLING_ADJ))/(1-RETIAL_PRFT),2)</f>
        <v>1.47</v>
      </c>
      <c r="Q70" s="129">
        <v>2.4</v>
      </c>
      <c r="R70" s="146">
        <f>L70-N70</f>
        <v>-0.659</v>
      </c>
      <c r="S70" s="150">
        <f>P70-Q70</f>
        <v>-0.9299999999999999</v>
      </c>
      <c r="T70" s="154">
        <v>2.74</v>
      </c>
    </row>
    <row r="71" spans="1:20" ht="14.25" thickBot="1" thickTop="1">
      <c r="A71" s="15" t="s">
        <v>67</v>
      </c>
      <c r="B71" s="88">
        <f>'CNTNR COST'!G69</f>
        <v>0.6054</v>
      </c>
      <c r="C71" s="23">
        <v>0</v>
      </c>
      <c r="D71" s="23">
        <f>+$D$11</f>
        <v>-0.0324</v>
      </c>
      <c r="E71" s="23">
        <f>ROUND($E$12*2,4)</f>
        <v>0</v>
      </c>
      <c r="F71" s="23">
        <f>ROUND($F$12*2,4)</f>
        <v>0.0284</v>
      </c>
      <c r="G71" s="23">
        <f aca="true" t="shared" si="38" ref="G71:G78">ROUND(SUM(B71:F71),4)</f>
        <v>0.6014</v>
      </c>
      <c r="H71" s="23">
        <f t="shared" si="36"/>
        <v>0.0212</v>
      </c>
      <c r="I71" s="23">
        <f aca="true" t="shared" si="39" ref="I71:I78">ROUND(G71+H71,4)</f>
        <v>0.6226</v>
      </c>
      <c r="J71" s="23">
        <f>ROUND(J$12*2,4)</f>
        <v>-0.282</v>
      </c>
      <c r="K71" s="23">
        <f>ROUND(K$12*2,4)</f>
        <v>0.4932</v>
      </c>
      <c r="L71" s="207">
        <f t="shared" si="37"/>
        <v>0.8338</v>
      </c>
      <c r="N71" s="100">
        <v>1.1801</v>
      </c>
      <c r="O71" s="100">
        <v>1.3422</v>
      </c>
      <c r="P71" s="210">
        <f>IF(ROUND((L71*(1-MAX_DISC)+(2*HANDLING_ADJ))/(1-RETIAL_PRFT),2)&lt;=L71,ROUND(L71+0.01,2),ROUND((L71*(1-MAX_DISC)+(2*HANDLING_ADJ))/(1-RETIAL_PRFT),2))</f>
        <v>0.84</v>
      </c>
      <c r="Q71" s="130">
        <v>1.23</v>
      </c>
      <c r="R71" s="146">
        <f>L71-N71</f>
        <v>-0.34629999999999994</v>
      </c>
      <c r="S71" s="150">
        <f>P71-Q71</f>
        <v>-0.39</v>
      </c>
      <c r="T71" s="155">
        <v>1.4</v>
      </c>
    </row>
    <row r="72" spans="1:20" ht="14.25" thickBot="1" thickTop="1">
      <c r="A72" s="15" t="s">
        <v>12</v>
      </c>
      <c r="B72" s="88">
        <f>'CNTNR COST'!G70</f>
        <v>0.3027</v>
      </c>
      <c r="C72" s="23">
        <v>0</v>
      </c>
      <c r="D72" s="23">
        <f>+$D$12</f>
        <v>0.0264</v>
      </c>
      <c r="E72" s="23">
        <f>ROUND(ENERGY_ADDON,4)</f>
        <v>0</v>
      </c>
      <c r="F72" s="23">
        <f>ROUND(COST_UPDATE_ADJ,4)</f>
        <v>0.0142</v>
      </c>
      <c r="G72" s="23">
        <f t="shared" si="38"/>
        <v>0.3433</v>
      </c>
      <c r="H72" s="23">
        <f t="shared" si="36"/>
        <v>0.0121</v>
      </c>
      <c r="I72" s="23">
        <f t="shared" si="39"/>
        <v>0.3554</v>
      </c>
      <c r="J72" s="23">
        <f>$J$12</f>
        <v>-0.141</v>
      </c>
      <c r="K72" s="23">
        <f>$K$12</f>
        <v>0.2466</v>
      </c>
      <c r="L72" s="207">
        <f t="shared" si="37"/>
        <v>0.461</v>
      </c>
      <c r="N72" s="100">
        <v>0.6038</v>
      </c>
      <c r="O72" s="100">
        <v>0.7256</v>
      </c>
      <c r="P72" s="210">
        <f>IF(ROUND((L72*(1-MAX_DISC)+HANDLING_ADJ)/(1-RETIAL_PRFT),2)&lt;=L72,ROUND(L72+0.01,2),ROUND((L72*(1-MAX_DISC)++HANDLING_ADJ)/(1-RETIAL_PRFT),2))</f>
        <v>0.47</v>
      </c>
      <c r="Q72" s="130">
        <v>0.63</v>
      </c>
      <c r="R72" s="146">
        <f>L72-N72</f>
        <v>-0.14279999999999998</v>
      </c>
      <c r="S72" s="150">
        <f>P72-Q72</f>
        <v>-0.16000000000000003</v>
      </c>
      <c r="T72" s="155">
        <v>0.75</v>
      </c>
    </row>
    <row r="73" spans="1:20" ht="14.25" thickBot="1" thickTop="1">
      <c r="A73" s="15" t="s">
        <v>13</v>
      </c>
      <c r="B73" s="88">
        <f>'CNTNR COST'!G71</f>
        <v>0.1514</v>
      </c>
      <c r="C73" s="23">
        <v>0</v>
      </c>
      <c r="D73" s="23">
        <f>+$D$13</f>
        <v>0.0249</v>
      </c>
      <c r="E73" s="23">
        <f>ROUND($E$12/2,4)</f>
        <v>0</v>
      </c>
      <c r="F73" s="23">
        <f>ROUND($F$12/2,4)</f>
        <v>0.0071</v>
      </c>
      <c r="G73" s="23">
        <f t="shared" si="38"/>
        <v>0.1834</v>
      </c>
      <c r="H73" s="23">
        <f t="shared" si="36"/>
        <v>0.0065</v>
      </c>
      <c r="I73" s="23">
        <f t="shared" si="39"/>
        <v>0.1899</v>
      </c>
      <c r="J73" s="23">
        <f>ROUND(J$12/2,4)</f>
        <v>-0.0705</v>
      </c>
      <c r="K73" s="23">
        <f>ROUND(K$12/2,4)</f>
        <v>0.1233</v>
      </c>
      <c r="L73" s="207">
        <f t="shared" si="37"/>
        <v>0.2427</v>
      </c>
      <c r="N73" s="100">
        <v>0.3213</v>
      </c>
      <c r="O73" s="100">
        <v>0.4224</v>
      </c>
      <c r="P73" s="210">
        <f>IF(ROUND((L73*(1-MAX_DISC)+(HANDLING_ADJ/2))/(1-RETIAL_PRFT),2)&lt;=L73,ROUND(L73+0.01,2),ROUND((L73*(1-MAX_DISC)+(HANDLING_ADJ/2))/(1-RETIAL_PRFT),2))</f>
        <v>0.25</v>
      </c>
      <c r="Q73" s="130">
        <v>0.33</v>
      </c>
      <c r="R73" s="146">
        <f>L73-N73</f>
        <v>-0.07859999999999998</v>
      </c>
      <c r="S73" s="150">
        <f>P73-Q73</f>
        <v>-0.08000000000000002</v>
      </c>
      <c r="T73" s="155">
        <v>0.43</v>
      </c>
    </row>
    <row r="74" spans="1:20" ht="14.25" thickBot="1" thickTop="1">
      <c r="A74" s="15" t="s">
        <v>189</v>
      </c>
      <c r="B74" s="88">
        <f>'CNTNR COST'!G72</f>
        <v>0.1503</v>
      </c>
      <c r="C74" s="23"/>
      <c r="D74" s="23">
        <f>+$D$14</f>
        <v>0.0194</v>
      </c>
      <c r="E74" s="23">
        <f>ROUND($E$12/32*12,4)</f>
        <v>0</v>
      </c>
      <c r="F74" s="23">
        <f>ROUND($F$12/32*12,4)</f>
        <v>0.0053</v>
      </c>
      <c r="G74" s="23">
        <f t="shared" si="38"/>
        <v>0.175</v>
      </c>
      <c r="H74" s="23">
        <f t="shared" si="36"/>
        <v>0.0062</v>
      </c>
      <c r="I74" s="23">
        <f t="shared" si="39"/>
        <v>0.1812</v>
      </c>
      <c r="J74" s="23">
        <f>ROUND(J72/32*12,4)</f>
        <v>-0.0529</v>
      </c>
      <c r="K74" s="23">
        <f>ROUND(K72/32*12,4)</f>
        <v>0.0925</v>
      </c>
      <c r="L74" s="207">
        <f t="shared" si="37"/>
        <v>0.2208</v>
      </c>
      <c r="N74" s="100"/>
      <c r="O74" s="100"/>
      <c r="P74" s="210">
        <f>IF(ROUND((L74*(1-MAX_DISC)+(HANDLING_ADJ*0.375))/(1-RETIAL_PRFT),2)&lt;=L74,ROUND(L74+0.01,2),ROUND((L74*(1-MAX_DISC)+(HANDLING_ADJ*0.375))/(1-RETIAL_PRFT),2))</f>
        <v>0.23</v>
      </c>
      <c r="Q74" s="130"/>
      <c r="T74" s="155"/>
    </row>
    <row r="75" spans="1:20" ht="14.25" thickBot="1" thickTop="1">
      <c r="A75" s="15" t="s">
        <v>68</v>
      </c>
      <c r="B75" s="88">
        <f>'CNTNR COST'!G73</f>
        <v>0.149</v>
      </c>
      <c r="C75" s="23">
        <v>0</v>
      </c>
      <c r="D75" s="23">
        <f>+$D$15</f>
        <v>0.0139</v>
      </c>
      <c r="E75" s="23">
        <f>ROUND($E$12/32*10,4)</f>
        <v>0</v>
      </c>
      <c r="F75" s="23">
        <f>ROUND($F$12/32*10,4)</f>
        <v>0.0044</v>
      </c>
      <c r="G75" s="23">
        <f t="shared" si="38"/>
        <v>0.1673</v>
      </c>
      <c r="H75" s="23">
        <f t="shared" si="36"/>
        <v>0.0059</v>
      </c>
      <c r="I75" s="23">
        <f t="shared" si="39"/>
        <v>0.1732</v>
      </c>
      <c r="J75" s="23">
        <f>ROUND(J72/32*10,4)</f>
        <v>-0.0441</v>
      </c>
      <c r="K75" s="23">
        <f>ROUND(K72/32*10,4)</f>
        <v>0.0771</v>
      </c>
      <c r="L75" s="207">
        <f t="shared" si="37"/>
        <v>0.2062</v>
      </c>
      <c r="N75" s="100">
        <v>0.2158</v>
      </c>
      <c r="O75" s="100">
        <v>0.2369</v>
      </c>
      <c r="P75" s="210">
        <f>IF(ROUND((L75*(1-MAX_DISC)+(HANDLING_ADJ*0.3125))/(1-RETIAL_PRFT),2)&lt;=L75,ROUND(L75+0.01,2),ROUND((L75*(1-MAX_DISC)+(HANDLING_ADJ*0.3125))/(1-RETIAL_PRFT),2))</f>
        <v>0.22</v>
      </c>
      <c r="Q75" s="130">
        <v>0.22</v>
      </c>
      <c r="R75" s="146">
        <f>L75-N75</f>
        <v>-0.009599999999999997</v>
      </c>
      <c r="S75" s="150">
        <f>P75-Q75</f>
        <v>0</v>
      </c>
      <c r="T75" s="155">
        <v>0.24</v>
      </c>
    </row>
    <row r="76" spans="1:20" ht="14.25" thickBot="1" thickTop="1">
      <c r="A76" s="15" t="s">
        <v>69</v>
      </c>
      <c r="B76" s="88">
        <f>'CNTNR COST'!G74</f>
        <v>0.0757</v>
      </c>
      <c r="C76" s="23">
        <v>0</v>
      </c>
      <c r="D76" s="23">
        <f>+$D$16</f>
        <v>0.0139</v>
      </c>
      <c r="E76" s="23">
        <f>ROUND($E$12/4,4)</f>
        <v>0</v>
      </c>
      <c r="F76" s="23">
        <f>ROUND($F$12/4,4)</f>
        <v>0.0036</v>
      </c>
      <c r="G76" s="23">
        <f t="shared" si="38"/>
        <v>0.0932</v>
      </c>
      <c r="H76" s="23">
        <f t="shared" si="36"/>
        <v>0.0033</v>
      </c>
      <c r="I76" s="23">
        <f t="shared" si="39"/>
        <v>0.0965</v>
      </c>
      <c r="J76" s="23">
        <f>ROUND(J$12/4,4)</f>
        <v>-0.0353</v>
      </c>
      <c r="K76" s="23">
        <f>ROUND(K$12/4,4)</f>
        <v>0.0617</v>
      </c>
      <c r="L76" s="207">
        <f t="shared" si="37"/>
        <v>0.1229</v>
      </c>
      <c r="N76" s="100">
        <v>0.1757</v>
      </c>
      <c r="O76" s="100">
        <v>0.19</v>
      </c>
      <c r="P76" s="210">
        <f>IF(ROUND((L76*(1-MAX_DISC)+(HANDLING_ADJ/4))/(1-RETIAL_PRFT),2)&lt;=L76,ROUND(L76+0.01,2),ROUND((L76*(1-MAX_DISC)+(HANDLING_ADJ/4))/(1-RETIAL_PRFT),2))</f>
        <v>0.13</v>
      </c>
      <c r="Q76" s="130">
        <v>0.18</v>
      </c>
      <c r="R76" s="146">
        <f>L76-N76</f>
        <v>-0.0528</v>
      </c>
      <c r="S76" s="150">
        <f>P76-Q76</f>
        <v>-0.04999999999999999</v>
      </c>
      <c r="T76" s="155">
        <v>0.19</v>
      </c>
    </row>
    <row r="77" spans="1:20" ht="14.25" thickBot="1" thickTop="1">
      <c r="A77" s="15" t="s">
        <v>70</v>
      </c>
      <c r="B77" s="88">
        <f>'CNTNR COST'!G75</f>
        <v>0.0659</v>
      </c>
      <c r="C77" s="23">
        <v>0</v>
      </c>
      <c r="D77" s="23">
        <f>+$D$17</f>
        <v>0.02</v>
      </c>
      <c r="E77" s="23">
        <f>ROUND($E$12/8,4)</f>
        <v>0</v>
      </c>
      <c r="F77" s="23">
        <f>ROUND($F$12/8,4)</f>
        <v>0.0018</v>
      </c>
      <c r="G77" s="23">
        <f t="shared" si="38"/>
        <v>0.0877</v>
      </c>
      <c r="H77" s="23">
        <f t="shared" si="36"/>
        <v>0.0031</v>
      </c>
      <c r="I77" s="23">
        <f t="shared" si="39"/>
        <v>0.0908</v>
      </c>
      <c r="J77" s="23">
        <f>ROUND(J$12/8,4)</f>
        <v>-0.0176</v>
      </c>
      <c r="K77" s="23">
        <f>ROUND(K$12/8,4)</f>
        <v>0.0308</v>
      </c>
      <c r="L77" s="207">
        <f t="shared" si="37"/>
        <v>0.104</v>
      </c>
      <c r="N77" s="100">
        <v>0.1051</v>
      </c>
      <c r="O77" s="100">
        <v>0.1081</v>
      </c>
      <c r="P77" s="210">
        <f>IF(ROUND((L77*(1-MAX_DISC)+(HANDLING_ADJ/8))/(1-RETIAL_PRFT),2)&lt;=L77,ROUND(L77+0.01,2),ROUND((L77*(1-MAX_DISC)+(HANDLING_ADJ/8))/(1-RETIAL_PRFT),2))</f>
        <v>0.11</v>
      </c>
      <c r="Q77" s="130">
        <v>0.11</v>
      </c>
      <c r="R77" s="146">
        <f>L77-N77</f>
        <v>-0.0011000000000000038</v>
      </c>
      <c r="S77" s="150">
        <f>P77-Q77</f>
        <v>0</v>
      </c>
      <c r="T77" s="155">
        <v>0.11</v>
      </c>
    </row>
    <row r="78" spans="1:20" ht="14.25" thickBot="1" thickTop="1">
      <c r="A78" s="15" t="s">
        <v>98</v>
      </c>
      <c r="B78" s="89">
        <f>'CNTNR COST'!G76</f>
        <v>0.4156</v>
      </c>
      <c r="C78" s="31">
        <v>0</v>
      </c>
      <c r="D78" s="31">
        <f>+$D$18</f>
        <v>0.1078</v>
      </c>
      <c r="E78" s="31">
        <f>ROUND($E$12,4)</f>
        <v>0</v>
      </c>
      <c r="F78" s="31">
        <f>ROUND($F$12,4)</f>
        <v>0.0142</v>
      </c>
      <c r="G78" s="31">
        <f t="shared" si="38"/>
        <v>0.5376</v>
      </c>
      <c r="H78" s="31">
        <f t="shared" si="36"/>
        <v>0.0189</v>
      </c>
      <c r="I78" s="31">
        <f t="shared" si="39"/>
        <v>0.5565</v>
      </c>
      <c r="J78" s="31">
        <f>J$12</f>
        <v>-0.141</v>
      </c>
      <c r="K78" s="31">
        <f>K$12</f>
        <v>0.2466</v>
      </c>
      <c r="L78" s="208">
        <f t="shared" si="37"/>
        <v>0.6621</v>
      </c>
      <c r="N78" s="101">
        <v>0.6158</v>
      </c>
      <c r="O78" s="101">
        <v>0.6924</v>
      </c>
      <c r="P78" s="211">
        <f>IF(ROUND((L78*(1-MAX_DISC)+HANDLING_ADJ)/(1-RETIAL_PRFT),2)&lt;=L78,ROUND(L78+0.01,2),ROUND((L78*(1-MAX_DISC)+HANDLING_ADJ)/(1-RETIAL_PRFT),2))</f>
        <v>0.67</v>
      </c>
      <c r="Q78" s="131">
        <v>0.64</v>
      </c>
      <c r="R78" s="146">
        <f>L78-N78</f>
        <v>0.04630000000000001</v>
      </c>
      <c r="S78" s="150">
        <f>P78-Q78</f>
        <v>0.030000000000000027</v>
      </c>
      <c r="T78" s="156">
        <v>0.72</v>
      </c>
    </row>
    <row r="79" spans="1:19" ht="14.25" thickBot="1" thickTop="1">
      <c r="A79" s="29" t="s">
        <v>24</v>
      </c>
      <c r="B79" s="32"/>
      <c r="D79" s="32"/>
      <c r="E79" s="32"/>
      <c r="N79" s="98"/>
      <c r="O79" s="98"/>
      <c r="P79" s="98"/>
      <c r="Q79" s="134"/>
      <c r="R79" s="146" t="s">
        <v>8</v>
      </c>
      <c r="S79" s="150" t="s">
        <v>8</v>
      </c>
    </row>
    <row r="80" spans="1:20" ht="14.25" thickBot="1" thickTop="1">
      <c r="A80" s="15" t="s">
        <v>10</v>
      </c>
      <c r="B80" s="87">
        <f>'CNTNR COST'!G78</f>
        <v>1.5665</v>
      </c>
      <c r="C80" s="30">
        <v>0</v>
      </c>
      <c r="D80" s="30">
        <f>+$D$10</f>
        <v>-0.0936</v>
      </c>
      <c r="E80" s="30">
        <f>ROUND($E$12*4,4)</f>
        <v>0</v>
      </c>
      <c r="F80" s="30">
        <f>ROUND($F$12*4,4)</f>
        <v>0.0568</v>
      </c>
      <c r="G80" s="30">
        <f aca="true" t="shared" si="40" ref="G80:G88">ROUND(SUM(B80:F80),4)</f>
        <v>1.5297</v>
      </c>
      <c r="H80" s="30">
        <f aca="true" t="shared" si="41" ref="H80:H98">ROUND((G80/(1-$H$5))-G80,4)</f>
        <v>0.0538</v>
      </c>
      <c r="I80" s="30">
        <f aca="true" t="shared" si="42" ref="I80:I88">ROUND(G80+H80,4)</f>
        <v>1.5835</v>
      </c>
      <c r="J80" s="30">
        <f>ROUND(J$12*4,4)</f>
        <v>-0.564</v>
      </c>
      <c r="K80" s="30">
        <f>ROUND(K$12*4,4)</f>
        <v>0.9864</v>
      </c>
      <c r="L80" s="206">
        <f aca="true" t="shared" si="43" ref="L80:L88">ROUND(SUM(I80:K80),4)</f>
        <v>2.0059</v>
      </c>
      <c r="N80" s="99">
        <v>2.2146</v>
      </c>
      <c r="O80" s="99">
        <v>2.9924</v>
      </c>
      <c r="P80" s="209">
        <f>ROUND((L80*(1-MAX_DISC)+(4*HANDLING_ADJ))/(1-RETIAL_PRFT),2)</f>
        <v>1.8</v>
      </c>
      <c r="Q80" s="129">
        <v>2.32</v>
      </c>
      <c r="R80" s="146">
        <f>L80-N80</f>
        <v>-0.20869999999999989</v>
      </c>
      <c r="S80" s="150">
        <f aca="true" t="shared" si="44" ref="S80:S88">P80-Q80</f>
        <v>-0.5199999999999998</v>
      </c>
      <c r="T80" s="154">
        <v>3.07</v>
      </c>
    </row>
    <row r="81" spans="1:20" ht="14.25" thickBot="1" thickTop="1">
      <c r="A81" s="15" t="s">
        <v>67</v>
      </c>
      <c r="B81" s="88">
        <f>'CNTNR COST'!G79</f>
        <v>0.7832</v>
      </c>
      <c r="C81" s="23">
        <v>0</v>
      </c>
      <c r="D81" s="23">
        <f>+$D$11</f>
        <v>-0.0324</v>
      </c>
      <c r="E81" s="23">
        <f>ROUND($E$12*2,4)</f>
        <v>0</v>
      </c>
      <c r="F81" s="23">
        <f>ROUND($F$12*2,4)</f>
        <v>0.0284</v>
      </c>
      <c r="G81" s="23">
        <f t="shared" si="40"/>
        <v>0.7792</v>
      </c>
      <c r="H81" s="23">
        <f t="shared" si="41"/>
        <v>0.0274</v>
      </c>
      <c r="I81" s="23">
        <f t="shared" si="42"/>
        <v>0.8066</v>
      </c>
      <c r="J81" s="23">
        <f>ROUND(J$12*2,4)</f>
        <v>-0.282</v>
      </c>
      <c r="K81" s="23">
        <f>ROUND(K$12*2,4)</f>
        <v>0.4932</v>
      </c>
      <c r="L81" s="207">
        <f t="shared" si="43"/>
        <v>1.0178</v>
      </c>
      <c r="N81" s="100">
        <v>1.1391</v>
      </c>
      <c r="O81" s="100">
        <v>1.5294</v>
      </c>
      <c r="P81" s="210">
        <f>IF(ROUND((L81*(1-MAX_DISC)+(2*HANDLING_ADJ))/(1-RETIAL_PRFT),2)&lt;=L81,ROUND(L81+0.01,2),ROUND((L81*(1-MAX_DISC)+(2*HANDLING_ADJ))/(1-RETIAL_PRFT),2))</f>
        <v>1.03</v>
      </c>
      <c r="Q81" s="130">
        <v>1.19</v>
      </c>
      <c r="R81" s="146">
        <f aca="true" t="shared" si="45" ref="R81:R88">L81-N81</f>
        <v>-0.12129999999999996</v>
      </c>
      <c r="S81" s="150">
        <f t="shared" si="44"/>
        <v>-0.15999999999999992</v>
      </c>
      <c r="T81" s="155">
        <v>1.57</v>
      </c>
    </row>
    <row r="82" spans="1:20" ht="14.25" thickBot="1" thickTop="1">
      <c r="A82" s="15" t="s">
        <v>12</v>
      </c>
      <c r="B82" s="88">
        <f>'CNTNR COST'!G80</f>
        <v>0.3916</v>
      </c>
      <c r="C82" s="23">
        <v>0</v>
      </c>
      <c r="D82" s="23">
        <f>+$D$12</f>
        <v>0.0264</v>
      </c>
      <c r="E82" s="23">
        <f>ROUND(ENERGY_ADDON,4)</f>
        <v>0</v>
      </c>
      <c r="F82" s="23">
        <f>ROUND(COST_UPDATE_ADJ,4)</f>
        <v>0.0142</v>
      </c>
      <c r="G82" s="23">
        <f t="shared" si="40"/>
        <v>0.4322</v>
      </c>
      <c r="H82" s="23">
        <f t="shared" si="41"/>
        <v>0.0152</v>
      </c>
      <c r="I82" s="23">
        <f t="shared" si="42"/>
        <v>0.4474</v>
      </c>
      <c r="J82" s="23">
        <f>$J$12</f>
        <v>-0.141</v>
      </c>
      <c r="K82" s="23">
        <f>$K$12</f>
        <v>0.2466</v>
      </c>
      <c r="L82" s="207">
        <f t="shared" si="43"/>
        <v>0.553</v>
      </c>
      <c r="N82" s="100">
        <v>0.5833</v>
      </c>
      <c r="O82" s="100">
        <v>0.8192</v>
      </c>
      <c r="P82" s="210">
        <f>IF(ROUND((L82*(1-MAX_DISC)+HANDLING_ADJ)/(1-RETIAL_PRFT),2)&lt;=L82,ROUND(L82+0.01,2),ROUND((L82*(1-MAX_DISC)++HANDLING_ADJ)/(1-RETIAL_PRFT),2))</f>
        <v>0.56</v>
      </c>
      <c r="Q82" s="130">
        <v>0.6</v>
      </c>
      <c r="R82" s="146">
        <f t="shared" si="45"/>
        <v>-0.030299999999999994</v>
      </c>
      <c r="S82" s="150">
        <f t="shared" si="44"/>
        <v>-0.039999999999999925</v>
      </c>
      <c r="T82" s="155">
        <v>0.83</v>
      </c>
    </row>
    <row r="83" spans="1:20" ht="14.25" thickBot="1" thickTop="1">
      <c r="A83" s="15" t="s">
        <v>13</v>
      </c>
      <c r="B83" s="88">
        <f>'CNTNR COST'!G81</f>
        <v>0.1959</v>
      </c>
      <c r="C83" s="23">
        <v>0</v>
      </c>
      <c r="D83" s="23">
        <f>+$D$13</f>
        <v>0.0249</v>
      </c>
      <c r="E83" s="23">
        <f>ROUND($E$12/2,4)</f>
        <v>0</v>
      </c>
      <c r="F83" s="23">
        <f>ROUND($F$12/2,4)</f>
        <v>0.0071</v>
      </c>
      <c r="G83" s="23">
        <f t="shared" si="40"/>
        <v>0.2279</v>
      </c>
      <c r="H83" s="23">
        <f t="shared" si="41"/>
        <v>0.008</v>
      </c>
      <c r="I83" s="23">
        <f t="shared" si="42"/>
        <v>0.2359</v>
      </c>
      <c r="J83" s="23">
        <f>ROUND(J$12/2,4)</f>
        <v>-0.0705</v>
      </c>
      <c r="K83" s="23">
        <f>ROUND(K$12/2,4)</f>
        <v>0.1233</v>
      </c>
      <c r="L83" s="207">
        <f t="shared" si="43"/>
        <v>0.2887</v>
      </c>
      <c r="N83" s="100">
        <v>0.3111</v>
      </c>
      <c r="O83" s="100">
        <v>0.4691</v>
      </c>
      <c r="P83" s="210">
        <f>IF(ROUND((L83*(1-MAX_DISC)+(HANDLING_ADJ/2))/(1-RETIAL_PRFT),2)&lt;=L83,ROUND(L83+0.01,2),ROUND((L83*(1-MAX_DISC)+(HANDLING_ADJ/2))/(1-RETIAL_PRFT),2))</f>
        <v>0.3</v>
      </c>
      <c r="Q83" s="130">
        <v>0.32</v>
      </c>
      <c r="R83" s="146">
        <f t="shared" si="45"/>
        <v>-0.022399999999999975</v>
      </c>
      <c r="S83" s="150">
        <f t="shared" si="44"/>
        <v>-0.020000000000000018</v>
      </c>
      <c r="T83" s="155">
        <v>0.47</v>
      </c>
    </row>
    <row r="84" spans="1:20" ht="14.25" thickBot="1" thickTop="1">
      <c r="A84" s="15" t="s">
        <v>189</v>
      </c>
      <c r="B84" s="88">
        <f>'CNTNR COST'!G82</f>
        <v>0.1836</v>
      </c>
      <c r="C84" s="23"/>
      <c r="D84" s="23">
        <f>+$D$14</f>
        <v>0.0194</v>
      </c>
      <c r="E84" s="23">
        <f>ROUND($E$12/32*12,4)</f>
        <v>0</v>
      </c>
      <c r="F84" s="23">
        <f>ROUND($F$12/32*12,4)</f>
        <v>0.0053</v>
      </c>
      <c r="G84" s="23">
        <f t="shared" si="40"/>
        <v>0.2083</v>
      </c>
      <c r="H84" s="23">
        <f t="shared" si="41"/>
        <v>0.0073</v>
      </c>
      <c r="I84" s="23">
        <f t="shared" si="42"/>
        <v>0.2156</v>
      </c>
      <c r="J84" s="23">
        <f>ROUND(J82/32*12,4)</f>
        <v>-0.0529</v>
      </c>
      <c r="K84" s="23">
        <f>ROUND(K82/32*12,4)</f>
        <v>0.0925</v>
      </c>
      <c r="L84" s="207">
        <f>ROUND(SUM(I84:K84),4)</f>
        <v>0.2552</v>
      </c>
      <c r="N84" s="100"/>
      <c r="O84" s="100"/>
      <c r="P84" s="210">
        <f>IF(ROUND((L84*(1-MAX_DISC)+(HANDLING_ADJ*0.375))/(1-RETIAL_PRFT),2)&lt;=L84,ROUND(L84+0.01,2),ROUND((L84*(1-MAX_DISC)+(HANDLING_ADJ*0.375))/(1-RETIAL_PRFT),2))</f>
        <v>0.27</v>
      </c>
      <c r="Q84" s="130"/>
      <c r="T84" s="155"/>
    </row>
    <row r="85" spans="1:20" ht="14.25" thickBot="1" thickTop="1">
      <c r="A85" s="15" t="s">
        <v>68</v>
      </c>
      <c r="B85" s="88">
        <f>'CNTNR COST'!G83</f>
        <v>0.1768</v>
      </c>
      <c r="C85" s="23">
        <v>0</v>
      </c>
      <c r="D85" s="23">
        <f>+$D$15</f>
        <v>0.0139</v>
      </c>
      <c r="E85" s="23">
        <f>ROUND($E$12/32*10,4)</f>
        <v>0</v>
      </c>
      <c r="F85" s="23">
        <f>ROUND($F$12/32*10,4)</f>
        <v>0.0044</v>
      </c>
      <c r="G85" s="23">
        <f t="shared" si="40"/>
        <v>0.1951</v>
      </c>
      <c r="H85" s="23">
        <f t="shared" si="41"/>
        <v>0.0069</v>
      </c>
      <c r="I85" s="23">
        <f t="shared" si="42"/>
        <v>0.202</v>
      </c>
      <c r="J85" s="23">
        <f>ROUND(J82/32*10,4)</f>
        <v>-0.0441</v>
      </c>
      <c r="K85" s="23">
        <f>ROUND(K82/32*10,4)</f>
        <v>0.0771</v>
      </c>
      <c r="L85" s="207">
        <f t="shared" si="43"/>
        <v>0.235</v>
      </c>
      <c r="N85" s="100">
        <v>0.2092</v>
      </c>
      <c r="O85" s="100">
        <v>0.2661</v>
      </c>
      <c r="P85" s="210">
        <f>IF(ROUND((L85*(1-MAX_DISC)+(HANDLING_ADJ*0.3125))/(1-RETIAL_PRFT),2)&lt;=L85,ROUND(L85+0.01,2),ROUND((L85*(1-MAX_DISC)+(HANDLING_ADJ*0.3125))/(1-RETIAL_PRFT),2))</f>
        <v>0.25</v>
      </c>
      <c r="Q85" s="130">
        <v>0.22</v>
      </c>
      <c r="R85" s="146">
        <f t="shared" si="45"/>
        <v>0.02579999999999999</v>
      </c>
      <c r="S85" s="150">
        <f t="shared" si="44"/>
        <v>0.03</v>
      </c>
      <c r="T85" s="155">
        <v>0.27</v>
      </c>
    </row>
    <row r="86" spans="1:20" ht="14.25" thickBot="1" thickTop="1">
      <c r="A86" s="15" t="s">
        <v>69</v>
      </c>
      <c r="B86" s="88">
        <f>'CNTNR COST'!G84</f>
        <v>0.0979</v>
      </c>
      <c r="C86" s="23">
        <v>0</v>
      </c>
      <c r="D86" s="23">
        <f>+$D$16</f>
        <v>0.0139</v>
      </c>
      <c r="E86" s="23">
        <f>ROUND($E$12/4,4)</f>
        <v>0</v>
      </c>
      <c r="F86" s="23">
        <f>ROUND($F$12/4,4)</f>
        <v>0.0036</v>
      </c>
      <c r="G86" s="23">
        <f t="shared" si="40"/>
        <v>0.1154</v>
      </c>
      <c r="H86" s="23">
        <f t="shared" si="41"/>
        <v>0.0041</v>
      </c>
      <c r="I86" s="23">
        <f t="shared" si="42"/>
        <v>0.1195</v>
      </c>
      <c r="J86" s="23">
        <f>ROUND(J$12/4,4)</f>
        <v>-0.0353</v>
      </c>
      <c r="K86" s="23">
        <f>ROUND(K$12/4,4)</f>
        <v>0.0617</v>
      </c>
      <c r="L86" s="207">
        <f t="shared" si="43"/>
        <v>0.1459</v>
      </c>
      <c r="N86" s="100">
        <v>0.1706</v>
      </c>
      <c r="O86" s="100">
        <v>0.2134</v>
      </c>
      <c r="P86" s="210">
        <f>IF(ROUND((L86*(1-MAX_DISC)+(HANDLING_ADJ/4))/(1-RETIAL_PRFT),2)&lt;=L86,ROUND(L86+0.01,2),ROUND((L86*(1-MAX_DISC)+(HANDLING_ADJ/4))/(1-RETIAL_PRFT),2))</f>
        <v>0.16</v>
      </c>
      <c r="Q86" s="130">
        <v>0.18</v>
      </c>
      <c r="R86" s="146">
        <f t="shared" si="45"/>
        <v>-0.0247</v>
      </c>
      <c r="S86" s="150">
        <f t="shared" si="44"/>
        <v>-0.01999999999999999</v>
      </c>
      <c r="T86" s="155">
        <v>0.22</v>
      </c>
    </row>
    <row r="87" spans="1:20" ht="14.25" thickBot="1" thickTop="1">
      <c r="A87" s="15" t="s">
        <v>70</v>
      </c>
      <c r="B87" s="88">
        <f>'CNTNR COST'!G85</f>
        <v>0.077</v>
      </c>
      <c r="C87" s="23">
        <v>0</v>
      </c>
      <c r="D87" s="23">
        <f>+$D$17</f>
        <v>0.02</v>
      </c>
      <c r="E87" s="23">
        <f>ROUND($E$12/8,4)</f>
        <v>0</v>
      </c>
      <c r="F87" s="23">
        <f>ROUND($F$12/8,4)</f>
        <v>0.0018</v>
      </c>
      <c r="G87" s="23">
        <f t="shared" si="40"/>
        <v>0.0988</v>
      </c>
      <c r="H87" s="23">
        <f t="shared" si="41"/>
        <v>0.0035</v>
      </c>
      <c r="I87" s="23">
        <f t="shared" si="42"/>
        <v>0.1023</v>
      </c>
      <c r="J87" s="23">
        <f>ROUND(J$12/8,4)</f>
        <v>-0.0176</v>
      </c>
      <c r="K87" s="23">
        <f>ROUND(K$12/8,4)</f>
        <v>0.0308</v>
      </c>
      <c r="L87" s="207">
        <f t="shared" si="43"/>
        <v>0.1155</v>
      </c>
      <c r="N87" s="100">
        <v>0.1026</v>
      </c>
      <c r="O87" s="100">
        <v>0.1198</v>
      </c>
      <c r="P87" s="210">
        <f>IF(ROUND((L87*(1-MAX_DISC)+(HANDLING_ADJ/8))/(1-RETIAL_PRFT),2)&lt;=L87,ROUND(L87+0.01,2),ROUND((L87*(1-MAX_DISC)+(HANDLING_ADJ/8))/(1-RETIAL_PRFT),2))</f>
        <v>0.13</v>
      </c>
      <c r="Q87" s="130">
        <v>0.11</v>
      </c>
      <c r="R87" s="146">
        <f t="shared" si="45"/>
        <v>0.012900000000000009</v>
      </c>
      <c r="S87" s="150">
        <f t="shared" si="44"/>
        <v>0.020000000000000004</v>
      </c>
      <c r="T87" s="155">
        <v>0.12</v>
      </c>
    </row>
    <row r="88" spans="1:20" ht="14.25" thickBot="1" thickTop="1">
      <c r="A88" s="15" t="s">
        <v>98</v>
      </c>
      <c r="B88" s="89">
        <f>'CNTNR COST'!G86</f>
        <v>0.5045</v>
      </c>
      <c r="C88" s="31">
        <v>0</v>
      </c>
      <c r="D88" s="31">
        <f>+$D$18</f>
        <v>0.1078</v>
      </c>
      <c r="E88" s="31">
        <f>ROUND($E$12,4)</f>
        <v>0</v>
      </c>
      <c r="F88" s="31">
        <f>ROUND($F$12,4)</f>
        <v>0.0142</v>
      </c>
      <c r="G88" s="31">
        <f t="shared" si="40"/>
        <v>0.6265</v>
      </c>
      <c r="H88" s="31">
        <f t="shared" si="41"/>
        <v>0.0221</v>
      </c>
      <c r="I88" s="31">
        <f t="shared" si="42"/>
        <v>0.6486</v>
      </c>
      <c r="J88" s="31">
        <f>J$12</f>
        <v>-0.141</v>
      </c>
      <c r="K88" s="31">
        <f>K$12</f>
        <v>0.2466</v>
      </c>
      <c r="L88" s="208">
        <f t="shared" si="43"/>
        <v>0.7542</v>
      </c>
      <c r="N88" s="101">
        <v>0.5953</v>
      </c>
      <c r="O88" s="101">
        <v>0.786</v>
      </c>
      <c r="P88" s="211">
        <f>IF(ROUND((L88*(1-MAX_DISC)+HANDLING_ADJ)/(1-RETIAL_PRFT),2)&lt;=L88,ROUND(L88+0.01,2),ROUND((L88*(1-MAX_DISC)+HANDLING_ADJ)/(1-RETIAL_PRFT),2))</f>
        <v>0.76</v>
      </c>
      <c r="Q88" s="131">
        <v>0.62</v>
      </c>
      <c r="R88" s="146">
        <f t="shared" si="45"/>
        <v>0.15889999999999993</v>
      </c>
      <c r="S88" s="150">
        <f t="shared" si="44"/>
        <v>0.14</v>
      </c>
      <c r="T88" s="156">
        <v>0.8</v>
      </c>
    </row>
    <row r="89" spans="1:19" ht="14.25" thickBot="1" thickTop="1">
      <c r="A89" s="29" t="s">
        <v>169</v>
      </c>
      <c r="B89" s="32"/>
      <c r="D89" s="32"/>
      <c r="E89" s="32"/>
      <c r="N89" s="98"/>
      <c r="O89" s="98"/>
      <c r="P89" s="98"/>
      <c r="Q89" s="134"/>
      <c r="R89" s="146" t="s">
        <v>8</v>
      </c>
      <c r="S89" s="150" t="s">
        <v>8</v>
      </c>
    </row>
    <row r="90" spans="1:20" ht="14.25" thickBot="1" thickTop="1">
      <c r="A90" s="15" t="s">
        <v>10</v>
      </c>
      <c r="B90" s="87">
        <f>'CNTNR COST'!G88</f>
        <v>2.534</v>
      </c>
      <c r="C90" s="30">
        <v>0</v>
      </c>
      <c r="D90" s="30">
        <f>+$D$10</f>
        <v>-0.0936</v>
      </c>
      <c r="E90" s="30">
        <f>ROUND($E$12*4,4)</f>
        <v>0</v>
      </c>
      <c r="F90" s="30">
        <f>ROUND($F$12*4,4)</f>
        <v>0.0568</v>
      </c>
      <c r="G90" s="30">
        <f aca="true" t="shared" si="46" ref="G90:G98">ROUND(SUM(B90:F90),4)</f>
        <v>2.4972</v>
      </c>
      <c r="H90" s="30">
        <f t="shared" si="41"/>
        <v>0.0879</v>
      </c>
      <c r="I90" s="30">
        <f aca="true" t="shared" si="47" ref="I90:I98">ROUND(G90+H90,4)</f>
        <v>2.5851</v>
      </c>
      <c r="J90" s="30">
        <f>ROUND(J$12*4,4)</f>
        <v>-0.564</v>
      </c>
      <c r="K90" s="30">
        <f>ROUND(K$12*4,4)</f>
        <v>0.9864</v>
      </c>
      <c r="L90" s="206">
        <f aca="true" t="shared" si="48" ref="L90:L98">ROUND(SUM(I90:K90),4)</f>
        <v>3.0075</v>
      </c>
      <c r="N90" s="99">
        <v>2.2146</v>
      </c>
      <c r="O90" s="99">
        <v>2.9924</v>
      </c>
      <c r="P90" s="222">
        <f>IF(ROUND((L90*(1-MAX_DISC)+(4*HANDLING_ADJ))/(1-RETIAL_PRFT),2)&lt;=L90,L90+0.01,(ROUND((L90*(1-MAX_DISC)+(4*HANDLING_ADJ))/(1-RETIAL_PRFT),2)))</f>
        <v>3.0174999999999996</v>
      </c>
      <c r="Q90" s="129">
        <v>2.32</v>
      </c>
      <c r="R90" s="146">
        <f>L90-N90</f>
        <v>0.7928999999999999</v>
      </c>
      <c r="S90" s="150">
        <f aca="true" t="shared" si="49" ref="S90:S98">P90-Q90</f>
        <v>0.6974999999999998</v>
      </c>
      <c r="T90" s="154">
        <v>3.07</v>
      </c>
    </row>
    <row r="91" spans="1:20" ht="14.25" thickBot="1" thickTop="1">
      <c r="A91" s="15" t="s">
        <v>67</v>
      </c>
      <c r="B91" s="88">
        <f>'CNTNR COST'!G89</f>
        <v>1.267</v>
      </c>
      <c r="C91" s="23">
        <v>0</v>
      </c>
      <c r="D91" s="23">
        <f>+$D$11</f>
        <v>-0.0324</v>
      </c>
      <c r="E91" s="23">
        <f>ROUND($E$12*2,4)</f>
        <v>0</v>
      </c>
      <c r="F91" s="23">
        <f>ROUND($F$12*2,4)</f>
        <v>0.0284</v>
      </c>
      <c r="G91" s="23">
        <f t="shared" si="46"/>
        <v>1.263</v>
      </c>
      <c r="H91" s="23">
        <f t="shared" si="41"/>
        <v>0.0445</v>
      </c>
      <c r="I91" s="23">
        <f t="shared" si="47"/>
        <v>1.3075</v>
      </c>
      <c r="J91" s="23">
        <f>ROUND(J$12*2,4)</f>
        <v>-0.282</v>
      </c>
      <c r="K91" s="23">
        <f>ROUND(K$12*2,4)</f>
        <v>0.4932</v>
      </c>
      <c r="L91" s="207">
        <f t="shared" si="48"/>
        <v>1.5187</v>
      </c>
      <c r="N91" s="100">
        <v>1.1391</v>
      </c>
      <c r="O91" s="100">
        <v>1.5294</v>
      </c>
      <c r="P91" s="210">
        <f>IF(ROUND((L91*(1-MAX_DISC)+(2*HANDLING_ADJ))/(1-RETIAL_PRFT),2)&lt;=L91,ROUND(L91+0.01,2),ROUND((L91*(1-MAX_DISC)+(2*HANDLING_ADJ))/(1-RETIAL_PRFT),2))</f>
        <v>1.53</v>
      </c>
      <c r="Q91" s="130">
        <v>1.19</v>
      </c>
      <c r="R91" s="146">
        <f aca="true" t="shared" si="50" ref="R91:R98">L91-N91</f>
        <v>0.37959999999999994</v>
      </c>
      <c r="S91" s="150">
        <f t="shared" si="49"/>
        <v>0.3400000000000001</v>
      </c>
      <c r="T91" s="155">
        <v>1.57</v>
      </c>
    </row>
    <row r="92" spans="1:20" ht="14.25" thickBot="1" thickTop="1">
      <c r="A92" s="15" t="s">
        <v>12</v>
      </c>
      <c r="B92" s="88">
        <f>'CNTNR COST'!G90</f>
        <v>0.6335</v>
      </c>
      <c r="C92" s="23">
        <v>0</v>
      </c>
      <c r="D92" s="23">
        <f>+$D$12</f>
        <v>0.0264</v>
      </c>
      <c r="E92" s="23">
        <f>ROUND(ENERGY_ADDON,4)</f>
        <v>0</v>
      </c>
      <c r="F92" s="23">
        <f>ROUND(COST_UPDATE_ADJ,4)</f>
        <v>0.0142</v>
      </c>
      <c r="G92" s="23">
        <f t="shared" si="46"/>
        <v>0.6741</v>
      </c>
      <c r="H92" s="23">
        <f t="shared" si="41"/>
        <v>0.0237</v>
      </c>
      <c r="I92" s="23">
        <f t="shared" si="47"/>
        <v>0.6978</v>
      </c>
      <c r="J92" s="23">
        <f>$J$12</f>
        <v>-0.141</v>
      </c>
      <c r="K92" s="23">
        <f>$K$12</f>
        <v>0.2466</v>
      </c>
      <c r="L92" s="207">
        <f t="shared" si="48"/>
        <v>0.8034</v>
      </c>
      <c r="N92" s="100">
        <v>0.5833</v>
      </c>
      <c r="O92" s="100">
        <v>0.8192</v>
      </c>
      <c r="P92" s="210">
        <f>IF(ROUND((L92*(1-MAX_DISC)+HANDLING_ADJ)/(1-RETIAL_PRFT),2)&lt;=L92,ROUND(L92+0.01,2),ROUND((L92*(1-MAX_DISC)++HANDLING_ADJ)/(1-RETIAL_PRFT),2))</f>
        <v>0.81</v>
      </c>
      <c r="Q92" s="130">
        <v>0.6</v>
      </c>
      <c r="R92" s="146">
        <f t="shared" si="50"/>
        <v>0.22009999999999996</v>
      </c>
      <c r="S92" s="150">
        <f t="shared" si="49"/>
        <v>0.21000000000000008</v>
      </c>
      <c r="T92" s="155">
        <v>0.83</v>
      </c>
    </row>
    <row r="93" spans="1:20" ht="14.25" thickBot="1" thickTop="1">
      <c r="A93" s="15" t="s">
        <v>13</v>
      </c>
      <c r="B93" s="88">
        <f>'CNTNR COST'!G91</f>
        <v>0.3168</v>
      </c>
      <c r="C93" s="23">
        <v>0</v>
      </c>
      <c r="D93" s="23">
        <f>+$D$13</f>
        <v>0.0249</v>
      </c>
      <c r="E93" s="23">
        <f>ROUND($E$12/2,4)</f>
        <v>0</v>
      </c>
      <c r="F93" s="23">
        <f>ROUND($F$12/2,4)</f>
        <v>0.0071</v>
      </c>
      <c r="G93" s="23">
        <f t="shared" si="46"/>
        <v>0.3488</v>
      </c>
      <c r="H93" s="23">
        <f t="shared" si="41"/>
        <v>0.0123</v>
      </c>
      <c r="I93" s="23">
        <f t="shared" si="47"/>
        <v>0.3611</v>
      </c>
      <c r="J93" s="23">
        <f>ROUND(J$12/2,4)</f>
        <v>-0.0705</v>
      </c>
      <c r="K93" s="23">
        <f>ROUND(K$12/2,4)</f>
        <v>0.1233</v>
      </c>
      <c r="L93" s="207">
        <f t="shared" si="48"/>
        <v>0.4139</v>
      </c>
      <c r="N93" s="100">
        <v>0.3111</v>
      </c>
      <c r="O93" s="100">
        <v>0.4691</v>
      </c>
      <c r="P93" s="210">
        <f>IF(ROUND((L93*(1-MAX_DISC)+(HANDLING_ADJ/2))/(1-RETIAL_PRFT),2)&lt;=L93,ROUND(L93+0.01,2),ROUND((L93*(1-MAX_DISC)+(HANDLING_ADJ/2))/(1-RETIAL_PRFT),2))</f>
        <v>0.42</v>
      </c>
      <c r="Q93" s="130">
        <v>0.32</v>
      </c>
      <c r="R93" s="146">
        <f t="shared" si="50"/>
        <v>0.1028</v>
      </c>
      <c r="S93" s="150">
        <f t="shared" si="49"/>
        <v>0.09999999999999998</v>
      </c>
      <c r="T93" s="155">
        <v>0.47</v>
      </c>
    </row>
    <row r="94" spans="1:20" ht="14.25" thickBot="1" thickTop="1">
      <c r="A94" s="15" t="s">
        <v>189</v>
      </c>
      <c r="B94" s="88">
        <f>'CNTNR COST'!G92</f>
        <v>0.2743</v>
      </c>
      <c r="C94" s="23"/>
      <c r="D94" s="23">
        <f>+$D$14</f>
        <v>0.0194</v>
      </c>
      <c r="E94" s="23">
        <f>ROUND($E$12/32*12,4)</f>
        <v>0</v>
      </c>
      <c r="F94" s="23">
        <f>ROUND($F$12/32*12,4)</f>
        <v>0.0053</v>
      </c>
      <c r="G94" s="23">
        <f t="shared" si="46"/>
        <v>0.299</v>
      </c>
      <c r="H94" s="23">
        <f t="shared" si="41"/>
        <v>0.0105</v>
      </c>
      <c r="I94" s="23">
        <f t="shared" si="47"/>
        <v>0.3095</v>
      </c>
      <c r="J94" s="23">
        <f>ROUND(J92/32*12,4)</f>
        <v>-0.0529</v>
      </c>
      <c r="K94" s="23">
        <f>ROUND(K92/32*12,4)</f>
        <v>0.0925</v>
      </c>
      <c r="L94" s="207">
        <f>ROUND(SUM(I94:K94),4)</f>
        <v>0.3491</v>
      </c>
      <c r="N94" s="100"/>
      <c r="O94" s="100"/>
      <c r="P94" s="210">
        <f>IF(ROUND((L94*(1-MAX_DISC)+(HANDLING_ADJ*0.375))/(1-RETIAL_PRFT),2)&lt;=L94,ROUND(L94+0.01,2),ROUND((L94*(1-MAX_DISC)+(HANDLING_ADJ*0.375))/(1-RETIAL_PRFT),2))</f>
        <v>0.36</v>
      </c>
      <c r="Q94" s="130"/>
      <c r="T94" s="155"/>
    </row>
    <row r="95" spans="1:20" ht="14.25" thickBot="1" thickTop="1">
      <c r="A95" s="15" t="s">
        <v>68</v>
      </c>
      <c r="B95" s="88">
        <f>'CNTNR COST'!G93</f>
        <v>0.2524</v>
      </c>
      <c r="C95" s="23">
        <v>0</v>
      </c>
      <c r="D95" s="23">
        <f>+$D$15</f>
        <v>0.0139</v>
      </c>
      <c r="E95" s="23">
        <f>ROUND($E$12/32*10,4)</f>
        <v>0</v>
      </c>
      <c r="F95" s="23">
        <f>ROUND($F$12/32*10,4)</f>
        <v>0.0044</v>
      </c>
      <c r="G95" s="23">
        <f t="shared" si="46"/>
        <v>0.2707</v>
      </c>
      <c r="H95" s="23">
        <f t="shared" si="41"/>
        <v>0.0095</v>
      </c>
      <c r="I95" s="23">
        <f t="shared" si="47"/>
        <v>0.2802</v>
      </c>
      <c r="J95" s="23">
        <f>ROUND(J92/32*10,4)</f>
        <v>-0.0441</v>
      </c>
      <c r="K95" s="23">
        <f>ROUND(K92/32*10,4)</f>
        <v>0.0771</v>
      </c>
      <c r="L95" s="207">
        <f t="shared" si="48"/>
        <v>0.3132</v>
      </c>
      <c r="N95" s="100">
        <v>0.2092</v>
      </c>
      <c r="O95" s="100">
        <v>0.2661</v>
      </c>
      <c r="P95" s="210">
        <f>IF(ROUND((L95*(1-MAX_DISC)+(HANDLING_ADJ*0.3125))/(1-RETIAL_PRFT),2)&lt;=L95,ROUND(L95+0.01,2),ROUND((L95*(1-MAX_DISC)+(HANDLING_ADJ*0.3125))/(1-RETIAL_PRFT),2))</f>
        <v>0.32</v>
      </c>
      <c r="Q95" s="130">
        <v>0.22</v>
      </c>
      <c r="R95" s="146">
        <f t="shared" si="50"/>
        <v>0.10399999999999998</v>
      </c>
      <c r="S95" s="150">
        <f t="shared" si="49"/>
        <v>0.1</v>
      </c>
      <c r="T95" s="155">
        <v>0.27</v>
      </c>
    </row>
    <row r="96" spans="1:20" ht="14.25" thickBot="1" thickTop="1">
      <c r="A96" s="15" t="s">
        <v>69</v>
      </c>
      <c r="B96" s="88">
        <f>'CNTNR COST'!G94</f>
        <v>0.1584</v>
      </c>
      <c r="C96" s="23">
        <v>0</v>
      </c>
      <c r="D96" s="23">
        <f>+$D$16</f>
        <v>0.0139</v>
      </c>
      <c r="E96" s="23">
        <f>ROUND($E$12/4,4)</f>
        <v>0</v>
      </c>
      <c r="F96" s="23">
        <f>ROUND($F$12/4,4)</f>
        <v>0.0036</v>
      </c>
      <c r="G96" s="23">
        <f t="shared" si="46"/>
        <v>0.1759</v>
      </c>
      <c r="H96" s="23">
        <f t="shared" si="41"/>
        <v>0.0062</v>
      </c>
      <c r="I96" s="23">
        <f t="shared" si="47"/>
        <v>0.1821</v>
      </c>
      <c r="J96" s="23">
        <f>ROUND(J$12/4,4)</f>
        <v>-0.0353</v>
      </c>
      <c r="K96" s="23">
        <f>ROUND(K$12/4,4)</f>
        <v>0.0617</v>
      </c>
      <c r="L96" s="207">
        <f t="shared" si="48"/>
        <v>0.2085</v>
      </c>
      <c r="N96" s="100">
        <v>0.1706</v>
      </c>
      <c r="O96" s="100">
        <v>0.2134</v>
      </c>
      <c r="P96" s="210">
        <f>IF(ROUND((L96*(1-MAX_DISC)+(HANDLING_ADJ/4))/(1-RETIAL_PRFT),2)&lt;=L96,ROUND(L96+0.01,2),ROUND((L96*(1-MAX_DISC)+(HANDLING_ADJ/4))/(1-RETIAL_PRFT),2))</f>
        <v>0.22</v>
      </c>
      <c r="Q96" s="130">
        <v>0.18</v>
      </c>
      <c r="R96" s="146">
        <f t="shared" si="50"/>
        <v>0.03789999999999999</v>
      </c>
      <c r="S96" s="150">
        <f t="shared" si="49"/>
        <v>0.04000000000000001</v>
      </c>
      <c r="T96" s="155">
        <v>0.22</v>
      </c>
    </row>
    <row r="97" spans="1:20" ht="14.25" thickBot="1" thickTop="1">
      <c r="A97" s="15" t="s">
        <v>70</v>
      </c>
      <c r="B97" s="88">
        <f>'CNTNR COST'!G95</f>
        <v>0.1072</v>
      </c>
      <c r="C97" s="23">
        <v>0</v>
      </c>
      <c r="D97" s="23">
        <f>+$D$17</f>
        <v>0.02</v>
      </c>
      <c r="E97" s="23">
        <f>ROUND($E$12/8,4)</f>
        <v>0</v>
      </c>
      <c r="F97" s="23">
        <f>ROUND($F$12/8,4)</f>
        <v>0.0018</v>
      </c>
      <c r="G97" s="23">
        <f t="shared" si="46"/>
        <v>0.129</v>
      </c>
      <c r="H97" s="23">
        <f t="shared" si="41"/>
        <v>0.0045</v>
      </c>
      <c r="I97" s="23">
        <f t="shared" si="47"/>
        <v>0.1335</v>
      </c>
      <c r="J97" s="23">
        <f>ROUND(J$12/8,4)</f>
        <v>-0.0176</v>
      </c>
      <c r="K97" s="23">
        <f>ROUND(K$12/8,4)</f>
        <v>0.0308</v>
      </c>
      <c r="L97" s="207">
        <f t="shared" si="48"/>
        <v>0.1467</v>
      </c>
      <c r="N97" s="100">
        <v>0.1026</v>
      </c>
      <c r="O97" s="100">
        <v>0.1198</v>
      </c>
      <c r="P97" s="210">
        <f>IF(ROUND((L97*(1-MAX_DISC)+(HANDLING_ADJ/8))/(1-RETIAL_PRFT),2)&lt;=L97,ROUND(L97+0.01,2),ROUND((L97*(1-MAX_DISC)+(HANDLING_ADJ/8))/(1-RETIAL_PRFT),2))</f>
        <v>0.16</v>
      </c>
      <c r="Q97" s="130">
        <v>0.11</v>
      </c>
      <c r="R97" s="146">
        <f t="shared" si="50"/>
        <v>0.0441</v>
      </c>
      <c r="S97" s="150">
        <f t="shared" si="49"/>
        <v>0.05</v>
      </c>
      <c r="T97" s="155">
        <v>0.12</v>
      </c>
    </row>
    <row r="98" spans="1:20" ht="14.25" thickBot="1" thickTop="1">
      <c r="A98" s="15" t="s">
        <v>98</v>
      </c>
      <c r="B98" s="89">
        <f>'CNTNR COST'!G96</f>
        <v>0.7464</v>
      </c>
      <c r="C98" s="31">
        <v>0</v>
      </c>
      <c r="D98" s="31">
        <f>+$D$18</f>
        <v>0.1078</v>
      </c>
      <c r="E98" s="31">
        <f>ROUND($E$12,4)</f>
        <v>0</v>
      </c>
      <c r="F98" s="31">
        <f>ROUND($F$12,4)</f>
        <v>0.0142</v>
      </c>
      <c r="G98" s="31">
        <f t="shared" si="46"/>
        <v>0.8684</v>
      </c>
      <c r="H98" s="31">
        <f t="shared" si="41"/>
        <v>0.0306</v>
      </c>
      <c r="I98" s="31">
        <f t="shared" si="47"/>
        <v>0.899</v>
      </c>
      <c r="J98" s="31">
        <f>J$12</f>
        <v>-0.141</v>
      </c>
      <c r="K98" s="31">
        <f>K$12</f>
        <v>0.2466</v>
      </c>
      <c r="L98" s="208">
        <f t="shared" si="48"/>
        <v>1.0046</v>
      </c>
      <c r="N98" s="101">
        <v>0.5953</v>
      </c>
      <c r="O98" s="101">
        <v>0.786</v>
      </c>
      <c r="P98" s="211">
        <f>IF(ROUND((L98*(1-MAX_DISC)+HANDLING_ADJ)/(1-RETIAL_PRFT),2)&lt;=L98,ROUND(L98+0.01,2),ROUND((L98*(1-MAX_DISC)+HANDLING_ADJ)/(1-RETIAL_PRFT),2))</f>
        <v>1.01</v>
      </c>
      <c r="Q98" s="131">
        <v>0.62</v>
      </c>
      <c r="R98" s="146">
        <f t="shared" si="50"/>
        <v>0.4092999999999999</v>
      </c>
      <c r="S98" s="150">
        <f t="shared" si="49"/>
        <v>0.39</v>
      </c>
      <c r="T98" s="156">
        <v>0.8</v>
      </c>
    </row>
    <row r="99" spans="1:19" ht="14.25" thickBot="1" thickTop="1">
      <c r="A99" s="29" t="s">
        <v>72</v>
      </c>
      <c r="B99" s="32"/>
      <c r="D99" s="32"/>
      <c r="E99" s="32"/>
      <c r="N99" s="98"/>
      <c r="O99" s="98"/>
      <c r="P99" s="150"/>
      <c r="Q99" s="134"/>
      <c r="R99" s="146" t="s">
        <v>8</v>
      </c>
      <c r="S99" s="150" t="s">
        <v>8</v>
      </c>
    </row>
    <row r="100" spans="1:20" ht="14.25" thickBot="1" thickTop="1">
      <c r="A100" s="15" t="s">
        <v>67</v>
      </c>
      <c r="B100" s="87">
        <f>'CNTNR COST'!G98</f>
        <v>0.5854</v>
      </c>
      <c r="C100" s="30">
        <f>ROUND(C101*2,4)</f>
        <v>0.3818</v>
      </c>
      <c r="D100" s="30">
        <f>+$D$11</f>
        <v>-0.0324</v>
      </c>
      <c r="E100" s="30">
        <f>ROUND($E$12*2,4)</f>
        <v>0</v>
      </c>
      <c r="F100" s="30">
        <f>ROUND($F$12*2,4)</f>
        <v>0.0284</v>
      </c>
      <c r="G100" s="30">
        <f>ROUND(SUM(B100:F100),4)</f>
        <v>0.9632</v>
      </c>
      <c r="H100" s="30">
        <f aca="true" t="shared" si="51" ref="H100:H110">ROUND((G100/(1-$H$5))-G100,4)</f>
        <v>0.0339</v>
      </c>
      <c r="I100" s="30">
        <f>ROUND(G100+H100,4)</f>
        <v>0.9971</v>
      </c>
      <c r="J100" s="30">
        <f>ROUND(J$12*2,4)</f>
        <v>-0.282</v>
      </c>
      <c r="K100" s="30">
        <f>ROUND(K$12*2,4)</f>
        <v>0.4932</v>
      </c>
      <c r="L100" s="206">
        <f aca="true" t="shared" si="52" ref="L100:L110">ROUND(SUM(I100:K100),4)</f>
        <v>1.2083</v>
      </c>
      <c r="N100" s="99">
        <v>1.7048</v>
      </c>
      <c r="O100" s="99">
        <v>2.4706</v>
      </c>
      <c r="P100" s="209">
        <f>IF(ROUND((L100*(1-MAX_DISC)+(2*HANDLING_ADJ))/(1-RETIAL_PRFT),2)&lt;L100,ROUND(L100+0.01,2),ROUND((L100*(1-MAX_DISC)+(2*HANDLING_ADJ))/(1-RETIAL_PRFT),2))</f>
        <v>1.22</v>
      </c>
      <c r="Q100" s="129">
        <v>1.74</v>
      </c>
      <c r="R100" s="146">
        <f>L100-N100</f>
        <v>-0.49650000000000016</v>
      </c>
      <c r="S100" s="150">
        <f aca="true" t="shared" si="53" ref="S100:S107">P100-Q100</f>
        <v>-0.52</v>
      </c>
      <c r="T100" s="155">
        <v>2.48</v>
      </c>
    </row>
    <row r="101" spans="1:20" ht="14.25" thickBot="1" thickTop="1">
      <c r="A101" s="15" t="s">
        <v>12</v>
      </c>
      <c r="B101" s="88">
        <f>'CNTNR COST'!G99</f>
        <v>0.2927</v>
      </c>
      <c r="C101" s="23">
        <f>H_AND_H_ADDON</f>
        <v>0.1909</v>
      </c>
      <c r="D101" s="23">
        <f>+$D$12</f>
        <v>0.0264</v>
      </c>
      <c r="E101" s="23">
        <f>ROUND(ENERGY_ADDON,4)</f>
        <v>0</v>
      </c>
      <c r="F101" s="23">
        <f>ROUND(COST_UPDATE_ADJ,4)</f>
        <v>0.0142</v>
      </c>
      <c r="G101" s="23">
        <f aca="true" t="shared" si="54" ref="G101:G110">ROUND(SUM(B101:F101),4)</f>
        <v>0.5242</v>
      </c>
      <c r="H101" s="23">
        <f t="shared" si="51"/>
        <v>0.0185</v>
      </c>
      <c r="I101" s="23">
        <f aca="true" t="shared" si="55" ref="I101:I110">ROUND(G101+H101,4)</f>
        <v>0.5427</v>
      </c>
      <c r="J101" s="23">
        <f>$J$12</f>
        <v>-0.141</v>
      </c>
      <c r="K101" s="23">
        <f>$K$12</f>
        <v>0.2466</v>
      </c>
      <c r="L101" s="207">
        <f t="shared" si="52"/>
        <v>0.6483</v>
      </c>
      <c r="N101" s="100">
        <v>0.8524</v>
      </c>
      <c r="O101" s="100">
        <v>1.2898</v>
      </c>
      <c r="P101" s="210">
        <f>IF(ROUND((L101*(1-MAX_DISC)+HANDLING_ADJ)/(1-RETIAL_PRFT),2)&lt;=L101,ROUND(L101+0.01,2),ROUND((L101*(1-MAX_DISC)++HANDLING_ADJ)/(1-RETIAL_PRFT),2))</f>
        <v>0.66</v>
      </c>
      <c r="Q101" s="130">
        <v>0.88</v>
      </c>
      <c r="R101" s="146">
        <f aca="true" t="shared" si="56" ref="R101:R110">L101-N101</f>
        <v>-0.20410000000000006</v>
      </c>
      <c r="S101" s="150">
        <f t="shared" si="53"/>
        <v>-0.21999999999999997</v>
      </c>
      <c r="T101" s="155">
        <v>1.3</v>
      </c>
    </row>
    <row r="102" spans="1:20" ht="14.25" thickBot="1" thickTop="1">
      <c r="A102" s="15" t="s">
        <v>13</v>
      </c>
      <c r="B102" s="88">
        <f>'CNTNR COST'!G100</f>
        <v>0.1464</v>
      </c>
      <c r="C102" s="23">
        <f>ROUND(C101/2,4)</f>
        <v>0.0955</v>
      </c>
      <c r="D102" s="23">
        <f>+$D$13</f>
        <v>0.0249</v>
      </c>
      <c r="E102" s="23">
        <f>ROUND($E$12/2,4)</f>
        <v>0</v>
      </c>
      <c r="F102" s="23">
        <f>ROUND($F$12/2,4)</f>
        <v>0.0071</v>
      </c>
      <c r="G102" s="23">
        <f t="shared" si="54"/>
        <v>0.2739</v>
      </c>
      <c r="H102" s="23">
        <f t="shared" si="51"/>
        <v>0.0096</v>
      </c>
      <c r="I102" s="23">
        <f t="shared" si="55"/>
        <v>0.2835</v>
      </c>
      <c r="J102" s="23">
        <f>ROUND(J$12/2,4)</f>
        <v>-0.0705</v>
      </c>
      <c r="K102" s="23">
        <f>ROUND(K$12/2,4)</f>
        <v>0.1233</v>
      </c>
      <c r="L102" s="207">
        <f t="shared" si="52"/>
        <v>0.3363</v>
      </c>
      <c r="N102" s="100">
        <v>0.4275</v>
      </c>
      <c r="O102" s="100">
        <v>0.7045</v>
      </c>
      <c r="P102" s="210">
        <f>IF(ROUND((L102*(1-MAX_DISC)+(HANDLING_ADJ/2))/(1-RETIAL_PRFT),2)&lt;=L102,ROUND(L102+0.01,2),ROUND((L102*(1-MAX_DISC)+(HANDLING_ADJ/2))/(1-RETIAL_PRFT),2))</f>
        <v>0.35</v>
      </c>
      <c r="Q102" s="130">
        <v>0.44</v>
      </c>
      <c r="R102" s="146">
        <f t="shared" si="56"/>
        <v>-0.0912</v>
      </c>
      <c r="S102" s="150">
        <f t="shared" si="53"/>
        <v>-0.09000000000000002</v>
      </c>
      <c r="T102" s="155">
        <v>0.71</v>
      </c>
    </row>
    <row r="103" spans="1:20" ht="14.25" thickBot="1" thickTop="1">
      <c r="A103" s="15" t="s">
        <v>189</v>
      </c>
      <c r="B103" s="88">
        <f>'CNTNR COST'!G101</f>
        <v>0.1465</v>
      </c>
      <c r="C103" s="23">
        <f>ROUND(C101/32*12,4)</f>
        <v>0.0716</v>
      </c>
      <c r="D103" s="23">
        <f>+$D$14</f>
        <v>0.0194</v>
      </c>
      <c r="E103" s="23">
        <f>ROUND($E$12/32*12,4)</f>
        <v>0</v>
      </c>
      <c r="F103" s="23">
        <f>ROUND($F$12/32*12,4)</f>
        <v>0.0053</v>
      </c>
      <c r="G103" s="23">
        <f t="shared" si="54"/>
        <v>0.2428</v>
      </c>
      <c r="H103" s="23">
        <f t="shared" si="51"/>
        <v>0.0085</v>
      </c>
      <c r="I103" s="23">
        <f t="shared" si="55"/>
        <v>0.2513</v>
      </c>
      <c r="J103" s="23">
        <f>ROUND(J101/32*12,4)</f>
        <v>-0.0529</v>
      </c>
      <c r="K103" s="23">
        <f>ROUND(K101/32*12,4)</f>
        <v>0.0925</v>
      </c>
      <c r="L103" s="207">
        <f>ROUND(SUM(I103:K103),4)</f>
        <v>0.2909</v>
      </c>
      <c r="N103" s="100"/>
      <c r="O103" s="100"/>
      <c r="P103" s="210">
        <f>IF(ROUND((L103*(1-MAX_DISC)+(HANDLING_ADJ*0.375))/(1-RETIAL_PRFT),2)&lt;=L103,ROUND(L103+0.01,2),ROUND((L103*(1-MAX_DISC)+(HANDLING_ADJ*0.375))/(1-RETIAL_PRFT),2))</f>
        <v>0.3</v>
      </c>
      <c r="Q103" s="130"/>
      <c r="T103" s="155"/>
    </row>
    <row r="104" spans="1:20" ht="14.25" thickBot="1" thickTop="1">
      <c r="A104" s="15" t="s">
        <v>68</v>
      </c>
      <c r="B104" s="88">
        <f>'CNTNR COST'!G102</f>
        <v>0.1459</v>
      </c>
      <c r="C104" s="23">
        <f>ROUND(C101/32*10,4)</f>
        <v>0.0597</v>
      </c>
      <c r="D104" s="23">
        <f>+$D$15</f>
        <v>0.0139</v>
      </c>
      <c r="E104" s="23">
        <f>ROUND($E$12/32*10,4)</f>
        <v>0</v>
      </c>
      <c r="F104" s="23">
        <f>ROUND($F$12/32*10,4)</f>
        <v>0.0044</v>
      </c>
      <c r="G104" s="23">
        <f t="shared" si="54"/>
        <v>0.2239</v>
      </c>
      <c r="H104" s="23">
        <f t="shared" si="51"/>
        <v>0.0079</v>
      </c>
      <c r="I104" s="23">
        <f t="shared" si="55"/>
        <v>0.2318</v>
      </c>
      <c r="J104" s="23">
        <f>ROUND(J101/32*10,4)</f>
        <v>-0.0441</v>
      </c>
      <c r="K104" s="23">
        <f>ROUND(K101/32*10,4)</f>
        <v>0.0771</v>
      </c>
      <c r="L104" s="207">
        <f t="shared" si="52"/>
        <v>0.2648</v>
      </c>
      <c r="N104" s="100">
        <v>0.2834</v>
      </c>
      <c r="O104" s="100">
        <v>0.4132</v>
      </c>
      <c r="P104" s="210">
        <f>IF(ROUND((L104*(1-MAX_DISC)+(HANDLING_ADJ*0.3125))/(1-RETIAL_PRFT),2)&lt;=L104,ROUND(L104+0.01,2),ROUND((L104*(1-MAX_DISC)+(HANDLING_ADJ*0.3125))/(1-RETIAL_PRFT),2))</f>
        <v>0.27</v>
      </c>
      <c r="Q104" s="130">
        <v>0.29</v>
      </c>
      <c r="R104" s="146">
        <f t="shared" si="56"/>
        <v>-0.018600000000000005</v>
      </c>
      <c r="S104" s="150">
        <f t="shared" si="53"/>
        <v>-0.019999999999999962</v>
      </c>
      <c r="T104" s="155">
        <v>0.42</v>
      </c>
    </row>
    <row r="105" spans="1:20" ht="14.25" thickBot="1" thickTop="1">
      <c r="A105" s="15" t="s">
        <v>69</v>
      </c>
      <c r="B105" s="88">
        <f>'CNTNR COST'!G103</f>
        <v>0.0732</v>
      </c>
      <c r="C105" s="23">
        <f>ROUND(C101/4,4)</f>
        <v>0.0477</v>
      </c>
      <c r="D105" s="23">
        <f>+$D$16</f>
        <v>0.0139</v>
      </c>
      <c r="E105" s="23">
        <f>ROUND($E$12/4,4)</f>
        <v>0</v>
      </c>
      <c r="F105" s="23">
        <f>ROUND($F$12/4,4)</f>
        <v>0.0036</v>
      </c>
      <c r="G105" s="23">
        <f t="shared" si="54"/>
        <v>0.1384</v>
      </c>
      <c r="H105" s="23">
        <f t="shared" si="51"/>
        <v>0.0049</v>
      </c>
      <c r="I105" s="23">
        <f t="shared" si="55"/>
        <v>0.1433</v>
      </c>
      <c r="J105" s="23">
        <f>ROUND(J$12/4,4)</f>
        <v>-0.0353</v>
      </c>
      <c r="K105" s="23">
        <f>ROUND(K$12/4,4)</f>
        <v>0.0617</v>
      </c>
      <c r="L105" s="207">
        <f t="shared" si="52"/>
        <v>0.1697</v>
      </c>
      <c r="N105" s="100">
        <v>0.2139</v>
      </c>
      <c r="O105" s="100">
        <v>0.3311</v>
      </c>
      <c r="P105" s="210">
        <f>IF(ROUND((L105*(1-MAX_DISC)+(HANDLING_ADJ/4))/(1-RETIAL_PRFT),2)&lt;=L105,ROUND(L105+0.01,2),ROUND((L105*(1-MAX_DISC)+(HANDLING_ADJ/4))/(1-RETIAL_PRFT),2))</f>
        <v>0.18</v>
      </c>
      <c r="Q105" s="130">
        <v>0.22</v>
      </c>
      <c r="R105" s="146">
        <f t="shared" si="56"/>
        <v>-0.04420000000000002</v>
      </c>
      <c r="S105" s="150">
        <f t="shared" si="53"/>
        <v>-0.04000000000000001</v>
      </c>
      <c r="T105" s="155">
        <v>0.34</v>
      </c>
    </row>
    <row r="106" spans="1:20" ht="14.25" thickBot="1" thickTop="1">
      <c r="A106" s="15" t="s">
        <v>70</v>
      </c>
      <c r="B106" s="88">
        <f>'CNTNR COST'!G104</f>
        <v>0.0646</v>
      </c>
      <c r="C106" s="23">
        <f>ROUND(C101/8,4)</f>
        <v>0.0239</v>
      </c>
      <c r="D106" s="23">
        <f>+$D$17</f>
        <v>0.02</v>
      </c>
      <c r="E106" s="23">
        <f>ROUND($E$12/8,4)</f>
        <v>0</v>
      </c>
      <c r="F106" s="23">
        <f>ROUND($F$12/8,4)</f>
        <v>0.0018</v>
      </c>
      <c r="G106" s="23">
        <f t="shared" si="54"/>
        <v>0.1103</v>
      </c>
      <c r="H106" s="23">
        <f t="shared" si="51"/>
        <v>0.0039</v>
      </c>
      <c r="I106" s="23">
        <f t="shared" si="55"/>
        <v>0.1142</v>
      </c>
      <c r="J106" s="23">
        <f>ROUND(J$12/8,4)</f>
        <v>-0.0176</v>
      </c>
      <c r="K106" s="23">
        <f>ROUND(K$12/8,4)</f>
        <v>0.0308</v>
      </c>
      <c r="L106" s="207">
        <f t="shared" si="52"/>
        <v>0.1274</v>
      </c>
      <c r="N106" s="100"/>
      <c r="O106" s="100">
        <v>0.1787</v>
      </c>
      <c r="P106" s="210">
        <f>IF(ROUND((L106*(1-MAX_DISC)+(HANDLING_ADJ/8))/(1-RETIAL_PRFT),2)&lt;=L106,ROUND(L106+0.01,2),ROUND((L106*(1-MAX_DISC)+(HANDLING_ADJ/8))/(1-RETIAL_PRFT),2))</f>
        <v>0.14</v>
      </c>
      <c r="Q106" s="130"/>
      <c r="R106" s="146">
        <f t="shared" si="56"/>
        <v>0.1274</v>
      </c>
      <c r="S106" s="150">
        <f t="shared" si="53"/>
        <v>0.14</v>
      </c>
      <c r="T106" s="155">
        <v>0.19</v>
      </c>
    </row>
    <row r="107" spans="1:20" ht="14.25" thickBot="1" thickTop="1">
      <c r="A107" s="15" t="s">
        <v>98</v>
      </c>
      <c r="B107" s="88">
        <f>'CNTNR COST'!G105</f>
        <v>0.4056</v>
      </c>
      <c r="C107" s="23">
        <f>DISP_H_AND_H</f>
        <v>0.1909</v>
      </c>
      <c r="D107" s="23">
        <f>+$D$18</f>
        <v>0.1078</v>
      </c>
      <c r="E107" s="23">
        <f>ROUND($E$12,4)</f>
        <v>0</v>
      </c>
      <c r="F107" s="23">
        <f>ROUND($F$12,4)</f>
        <v>0.0142</v>
      </c>
      <c r="G107" s="23">
        <f t="shared" si="54"/>
        <v>0.7185</v>
      </c>
      <c r="H107" s="23">
        <f t="shared" si="51"/>
        <v>0.0253</v>
      </c>
      <c r="I107" s="23">
        <f t="shared" si="55"/>
        <v>0.7438</v>
      </c>
      <c r="J107" s="23">
        <f>J$12</f>
        <v>-0.141</v>
      </c>
      <c r="K107" s="23">
        <f>K$12</f>
        <v>0.2466</v>
      </c>
      <c r="L107" s="207">
        <f t="shared" si="52"/>
        <v>0.8494</v>
      </c>
      <c r="N107" s="100">
        <v>0.8644</v>
      </c>
      <c r="O107" s="100">
        <v>1.2566</v>
      </c>
      <c r="P107" s="210">
        <f>IF(ROUND((L107*(1-MAX_DISC)+HANDLING_ADJ)/(1-RETIAL_PRFT),2)&lt;=L107,ROUND(L107+0.01,2),ROUND((L107*(1-MAX_DISC)+HANDLING_ADJ)/(1-RETIAL_PRFT),2))</f>
        <v>0.86</v>
      </c>
      <c r="Q107" s="131">
        <v>0.89</v>
      </c>
      <c r="R107" s="146">
        <f t="shared" si="56"/>
        <v>-0.014999999999999902</v>
      </c>
      <c r="S107" s="150">
        <f t="shared" si="53"/>
        <v>-0.030000000000000027</v>
      </c>
      <c r="T107" s="156">
        <v>1.27</v>
      </c>
    </row>
    <row r="108" spans="1:20" ht="14.25" thickBot="1" thickTop="1">
      <c r="A108" s="15" t="s">
        <v>73</v>
      </c>
      <c r="B108" s="88">
        <f>'CNTNR COST'!G106</f>
        <v>0.0034</v>
      </c>
      <c r="C108" s="23">
        <f>ROUND(CREAMER_ADDON/8*3,4)</f>
        <v>0.0102</v>
      </c>
      <c r="D108" s="23"/>
      <c r="E108" s="225">
        <f>ROUND(E101/32*3/8,4)</f>
        <v>0</v>
      </c>
      <c r="F108" s="225">
        <f>ROUND(F101/32*3/8,4)</f>
        <v>0.0002</v>
      </c>
      <c r="G108" s="23">
        <f t="shared" si="54"/>
        <v>0.0138</v>
      </c>
      <c r="H108" s="23">
        <f t="shared" si="51"/>
        <v>0.0005</v>
      </c>
      <c r="I108" s="23">
        <f t="shared" si="55"/>
        <v>0.0143</v>
      </c>
      <c r="J108" s="23">
        <f>ROUND(+J106/32*3,4)</f>
        <v>-0.0017</v>
      </c>
      <c r="K108" s="23">
        <f>ROUND(+K106/32*3,4)</f>
        <v>0.0029</v>
      </c>
      <c r="L108" s="207">
        <f t="shared" si="52"/>
        <v>0.0155</v>
      </c>
      <c r="N108" s="157">
        <v>0.014</v>
      </c>
      <c r="O108" s="100">
        <v>0.0188</v>
      </c>
      <c r="P108" s="210"/>
      <c r="Q108" s="134"/>
      <c r="R108" s="146">
        <f t="shared" si="56"/>
        <v>0.0014999999999999996</v>
      </c>
      <c r="T108" s="109"/>
    </row>
    <row r="109" spans="1:20" ht="14.25" thickBot="1" thickTop="1">
      <c r="A109" s="15" t="s">
        <v>74</v>
      </c>
      <c r="B109" s="88">
        <f>'CNTNR COST'!G107</f>
        <v>0.0046</v>
      </c>
      <c r="C109" s="23">
        <f>ROUND(CREAMER_ADDON/2,4)</f>
        <v>0.0137</v>
      </c>
      <c r="D109" s="23"/>
      <c r="E109" s="23">
        <f>ROUND(E101/64,4)</f>
        <v>0</v>
      </c>
      <c r="F109" s="23">
        <f>ROUND(F101/64,4)</f>
        <v>0.0002</v>
      </c>
      <c r="G109" s="23">
        <f t="shared" si="54"/>
        <v>0.0185</v>
      </c>
      <c r="H109" s="23">
        <f t="shared" si="51"/>
        <v>0.0007</v>
      </c>
      <c r="I109" s="23">
        <f t="shared" si="55"/>
        <v>0.0192</v>
      </c>
      <c r="J109" s="23">
        <f>ROUND(+J106/8,4)</f>
        <v>-0.0022</v>
      </c>
      <c r="K109" s="23">
        <f>ROUND(+K106/8,4)</f>
        <v>0.0039</v>
      </c>
      <c r="L109" s="207">
        <f t="shared" si="52"/>
        <v>0.0209</v>
      </c>
      <c r="N109" s="157">
        <v>0.018</v>
      </c>
      <c r="O109" s="100">
        <v>0.0251</v>
      </c>
      <c r="P109" s="210"/>
      <c r="Q109" s="134"/>
      <c r="R109" s="146">
        <f t="shared" si="56"/>
        <v>0.0029</v>
      </c>
      <c r="T109" s="109"/>
    </row>
    <row r="110" spans="1:20" ht="14.25" thickBot="1" thickTop="1">
      <c r="A110" s="15" t="s">
        <v>75</v>
      </c>
      <c r="B110" s="89">
        <f>'CNTNR COST'!G108</f>
        <v>0.0069</v>
      </c>
      <c r="C110" s="31">
        <f>ROUND(CREAMER_ADDON/4*3,4)</f>
        <v>0.0205</v>
      </c>
      <c r="D110" s="31"/>
      <c r="E110" s="31">
        <f>ROUND(E102/64*3,4)</f>
        <v>0</v>
      </c>
      <c r="F110" s="31">
        <f>ROUND(F102/64*3,4)</f>
        <v>0.0003</v>
      </c>
      <c r="G110" s="31">
        <f t="shared" si="54"/>
        <v>0.0277</v>
      </c>
      <c r="H110" s="31">
        <f t="shared" si="51"/>
        <v>0.001</v>
      </c>
      <c r="I110" s="31">
        <f t="shared" si="55"/>
        <v>0.0287</v>
      </c>
      <c r="J110" s="31">
        <f>ROUND(+J109/2*3,4)</f>
        <v>-0.0033</v>
      </c>
      <c r="K110" s="31">
        <f>ROUND(+K101/128*3,4)</f>
        <v>0.0058</v>
      </c>
      <c r="L110" s="208">
        <f t="shared" si="52"/>
        <v>0.0312</v>
      </c>
      <c r="N110" s="158">
        <v>0.027</v>
      </c>
      <c r="O110" s="101">
        <v>0.0378</v>
      </c>
      <c r="P110" s="211"/>
      <c r="Q110" s="134" t="s">
        <v>8</v>
      </c>
      <c r="R110" s="146">
        <f t="shared" si="56"/>
        <v>0.004199999999999999</v>
      </c>
      <c r="T110" s="109"/>
    </row>
    <row r="111" spans="1:19" ht="14.25" thickBot="1" thickTop="1">
      <c r="A111" s="29" t="s">
        <v>76</v>
      </c>
      <c r="B111" s="32"/>
      <c r="D111" s="32"/>
      <c r="E111" s="32"/>
      <c r="N111" s="98"/>
      <c r="O111" s="98"/>
      <c r="P111" s="150"/>
      <c r="Q111" s="134"/>
      <c r="R111" s="146" t="s">
        <v>8</v>
      </c>
      <c r="S111" s="150" t="s">
        <v>8</v>
      </c>
    </row>
    <row r="112" spans="1:20" ht="14.25" thickBot="1" thickTop="1">
      <c r="A112" s="15" t="s">
        <v>67</v>
      </c>
      <c r="B112" s="87">
        <f>'CNTNR COST'!G111</f>
        <v>0.5854</v>
      </c>
      <c r="C112" s="30">
        <f>C113*2</f>
        <v>0.3736</v>
      </c>
      <c r="D112" s="30">
        <f>+$D$11</f>
        <v>-0.0324</v>
      </c>
      <c r="E112" s="30">
        <f>ROUND($E$12*2,4)</f>
        <v>0</v>
      </c>
      <c r="F112" s="30">
        <f>ROUND($F$12*2,4)</f>
        <v>0.0284</v>
      </c>
      <c r="G112" s="30">
        <f>ROUND(SUM(B112:F112),4)</f>
        <v>0.955</v>
      </c>
      <c r="H112" s="30">
        <f aca="true" t="shared" si="57" ref="H112:H119">ROUND((G112/(1-$H$5))-G112,4)</f>
        <v>0.0336</v>
      </c>
      <c r="I112" s="30">
        <f>ROUND(G112+H112,4)</f>
        <v>0.9886</v>
      </c>
      <c r="J112" s="30">
        <f>ROUND(J$12*2,4)</f>
        <v>-0.282</v>
      </c>
      <c r="K112" s="30">
        <f>ROUND(K$12*2,4)</f>
        <v>0.4932</v>
      </c>
      <c r="L112" s="206">
        <f aca="true" t="shared" si="58" ref="L112:L119">ROUND(SUM(I112:K112),4)</f>
        <v>1.1998</v>
      </c>
      <c r="N112" s="99"/>
      <c r="O112" s="99">
        <v>3.8024</v>
      </c>
      <c r="P112" s="209">
        <f>IF(ROUND((L112*(1-MAX_DISC)+(2*HANDLING_ADJ))/(1-RETIAL_PRFT),2)&lt;=L112,ROUND(L112+0.01,2),ROUND((L112*(1-MAX_DISC)+(2*HANDLING_ADJ))/(1-RETIAL_PRFT),2))</f>
        <v>1.21</v>
      </c>
      <c r="Q112" s="129"/>
      <c r="R112" s="146">
        <f>L112-N112</f>
        <v>1.1998</v>
      </c>
      <c r="S112" s="150">
        <f aca="true" t="shared" si="59" ref="S112:S119">P112-Q112</f>
        <v>1.21</v>
      </c>
      <c r="T112" s="155">
        <v>3.81</v>
      </c>
    </row>
    <row r="113" spans="1:20" ht="14.25" thickBot="1" thickTop="1">
      <c r="A113" s="15" t="s">
        <v>12</v>
      </c>
      <c r="B113" s="88">
        <f>'CNTNR COST'!G112</f>
        <v>0.2927</v>
      </c>
      <c r="C113" s="23">
        <f>CREAM_ADDON</f>
        <v>0.1868</v>
      </c>
      <c r="D113" s="23">
        <f>+$D$12</f>
        <v>0.0264</v>
      </c>
      <c r="E113" s="23">
        <f>ROUND(ENERGY_ADDON,4)</f>
        <v>0</v>
      </c>
      <c r="F113" s="23">
        <f>ROUND(COST_UPDATE_ADJ,4)</f>
        <v>0.0142</v>
      </c>
      <c r="G113" s="23">
        <f aca="true" t="shared" si="60" ref="G113:G119">ROUND(SUM(B113:F113),4)</f>
        <v>0.5201</v>
      </c>
      <c r="H113" s="23">
        <f t="shared" si="57"/>
        <v>0.0183</v>
      </c>
      <c r="I113" s="23">
        <f aca="true" t="shared" si="61" ref="I113:I119">ROUND(G113+H113,4)</f>
        <v>0.5384</v>
      </c>
      <c r="J113" s="23">
        <f>$J$12</f>
        <v>-0.141</v>
      </c>
      <c r="K113" s="23">
        <f>$K$12</f>
        <v>0.2466</v>
      </c>
      <c r="L113" s="207">
        <f t="shared" si="58"/>
        <v>0.644</v>
      </c>
      <c r="N113" s="100">
        <v>1.0079</v>
      </c>
      <c r="O113" s="100">
        <v>1.9557</v>
      </c>
      <c r="P113" s="210">
        <f>IF(ROUND((L113*(1-MAX_DISC)+HANDLING_ADJ)/(1-RETIAL_PRFT),2)&lt;=L113,ROUND(L113+0.01,2),ROUND((L113*(1-MAX_DISC)++HANDLING_ADJ)/(1-RETIAL_PRFT),2))</f>
        <v>0.65</v>
      </c>
      <c r="Q113" s="130">
        <v>1.03</v>
      </c>
      <c r="R113" s="146">
        <f aca="true" t="shared" si="62" ref="R113:R146">L113-N113</f>
        <v>-0.3639</v>
      </c>
      <c r="S113" s="150">
        <f t="shared" si="59"/>
        <v>-0.38</v>
      </c>
      <c r="T113" s="155">
        <v>1.97</v>
      </c>
    </row>
    <row r="114" spans="1:20" ht="14.25" thickBot="1" thickTop="1">
      <c r="A114" s="15" t="s">
        <v>13</v>
      </c>
      <c r="B114" s="88">
        <f>'CNTNR COST'!G113</f>
        <v>0.1464</v>
      </c>
      <c r="C114" s="23">
        <f>ROUND(C113/2,4)</f>
        <v>0.0934</v>
      </c>
      <c r="D114" s="23">
        <f>+$D$13</f>
        <v>0.0249</v>
      </c>
      <c r="E114" s="23">
        <f>ROUND($E$12/2,4)</f>
        <v>0</v>
      </c>
      <c r="F114" s="23">
        <f>ROUND($F$12/2,4)</f>
        <v>0.0071</v>
      </c>
      <c r="G114" s="23">
        <f t="shared" si="60"/>
        <v>0.2718</v>
      </c>
      <c r="H114" s="23">
        <f t="shared" si="57"/>
        <v>0.0096</v>
      </c>
      <c r="I114" s="23">
        <f t="shared" si="61"/>
        <v>0.2814</v>
      </c>
      <c r="J114" s="23">
        <f>ROUND(J$12/2,4)</f>
        <v>-0.0705</v>
      </c>
      <c r="K114" s="23">
        <f>ROUND(K$12/2,4)</f>
        <v>0.1233</v>
      </c>
      <c r="L114" s="207">
        <f t="shared" si="58"/>
        <v>0.3342</v>
      </c>
      <c r="N114" s="100">
        <v>0.5528</v>
      </c>
      <c r="O114" s="100">
        <v>1.0375</v>
      </c>
      <c r="P114" s="210">
        <f>IF(ROUND((L114*(1-MAX_DISC)+(HANDLING_ADJ/2))/(1-RETIAL_PRFT),2)&lt;=L114,ROUND(L114+0.01,2),ROUND((L114*(1-MAX_DISC)+(HANDLING_ADJ/2))/(1-RETIAL_PRFT),2))</f>
        <v>0.34</v>
      </c>
      <c r="Q114" s="130">
        <v>0.57</v>
      </c>
      <c r="R114" s="146">
        <f t="shared" si="62"/>
        <v>-0.21859999999999996</v>
      </c>
      <c r="S114" s="150">
        <f t="shared" si="59"/>
        <v>-0.22999999999999993</v>
      </c>
      <c r="T114" s="155">
        <v>1.05</v>
      </c>
    </row>
    <row r="115" spans="1:20" ht="14.25" thickBot="1" thickTop="1">
      <c r="A115" s="15" t="s">
        <v>189</v>
      </c>
      <c r="B115" s="88">
        <f>'CNTNR COST'!G114</f>
        <v>0.1465</v>
      </c>
      <c r="C115" s="23">
        <f>ROUND(C113/32*12,4)</f>
        <v>0.0701</v>
      </c>
      <c r="D115" s="23">
        <f>+$D$14</f>
        <v>0.0194</v>
      </c>
      <c r="E115" s="23">
        <f>ROUND($E$12/32*12,4)</f>
        <v>0</v>
      </c>
      <c r="F115" s="23">
        <f>ROUND($F$12/32*12,4)</f>
        <v>0.0053</v>
      </c>
      <c r="G115" s="23">
        <f t="shared" si="60"/>
        <v>0.2413</v>
      </c>
      <c r="H115" s="23">
        <f t="shared" si="57"/>
        <v>0.0085</v>
      </c>
      <c r="I115" s="23">
        <f t="shared" si="61"/>
        <v>0.2498</v>
      </c>
      <c r="J115" s="23">
        <f>ROUND(J113/32*12,4)</f>
        <v>-0.0529</v>
      </c>
      <c r="K115" s="23">
        <f>ROUND(K113/32*12,4)</f>
        <v>0.0925</v>
      </c>
      <c r="L115" s="207">
        <f>ROUND(SUM(I115:K115),4)</f>
        <v>0.2894</v>
      </c>
      <c r="N115" s="100"/>
      <c r="O115" s="100"/>
      <c r="P115" s="210">
        <f>IF(ROUND((L115*(1-MAX_DISC)+(HANDLING_ADJ*0.375))/(1-RETIAL_PRFT),2)&lt;=L115,ROUND(L115+0.01,2),ROUND((L115*(1-MAX_DISC)+(HANDLING_ADJ*0.375))/(1-RETIAL_PRFT),2))</f>
        <v>0.3</v>
      </c>
      <c r="Q115" s="130"/>
      <c r="T115" s="155"/>
    </row>
    <row r="116" spans="1:20" ht="14.25" thickBot="1" thickTop="1">
      <c r="A116" s="15" t="s">
        <v>68</v>
      </c>
      <c r="B116" s="88">
        <f>'CNTNR COST'!G115</f>
        <v>0.1459</v>
      </c>
      <c r="C116" s="23">
        <f>ROUND(C113/32*10,4)</f>
        <v>0.0584</v>
      </c>
      <c r="D116" s="23">
        <f>+$D$15</f>
        <v>0.0139</v>
      </c>
      <c r="E116" s="23">
        <f>ROUND($E$12/32*10,4)</f>
        <v>0</v>
      </c>
      <c r="F116" s="23">
        <f>ROUND($F$12/32*10,4)</f>
        <v>0.0044</v>
      </c>
      <c r="G116" s="23">
        <f t="shared" si="60"/>
        <v>0.2226</v>
      </c>
      <c r="H116" s="23">
        <f t="shared" si="57"/>
        <v>0.0078</v>
      </c>
      <c r="I116" s="23">
        <f t="shared" si="61"/>
        <v>0.2304</v>
      </c>
      <c r="J116" s="23">
        <f>ROUND(J113/32*10,4)</f>
        <v>-0.0441</v>
      </c>
      <c r="K116" s="23">
        <f>ROUND(K113/32*10,4)</f>
        <v>0.0771</v>
      </c>
      <c r="L116" s="207">
        <f t="shared" si="58"/>
        <v>0.2634</v>
      </c>
      <c r="N116" s="100">
        <v>0.3346</v>
      </c>
      <c r="O116" s="100">
        <v>0.6213</v>
      </c>
      <c r="P116" s="210">
        <f>IF(ROUND((L116*(1-MAX_DISC)+(HANDLING_ADJ*0.3125))/(1-RETIAL_PRFT),2)&lt;=L116,ROUND(L116+0.01,2),ROUND((L116*(1-MAX_DISC)+(HANDLING_ADJ*0.3125))/(1-RETIAL_PRFT),2))</f>
        <v>0.27</v>
      </c>
      <c r="Q116" s="130">
        <v>0.34</v>
      </c>
      <c r="R116" s="146">
        <f t="shared" si="62"/>
        <v>-0.07119999999999999</v>
      </c>
      <c r="S116" s="150">
        <f t="shared" si="59"/>
        <v>-0.07</v>
      </c>
      <c r="T116" s="155">
        <v>0.63</v>
      </c>
    </row>
    <row r="117" spans="1:20" ht="14.25" thickBot="1" thickTop="1">
      <c r="A117" s="15" t="s">
        <v>69</v>
      </c>
      <c r="B117" s="88">
        <f>'CNTNR COST'!G116</f>
        <v>0.0732</v>
      </c>
      <c r="C117" s="23">
        <f>ROUND(C113/4,4)</f>
        <v>0.0467</v>
      </c>
      <c r="D117" s="23">
        <f>+$D$16</f>
        <v>0.0139</v>
      </c>
      <c r="E117" s="23">
        <f>ROUND($E$12/4,4)</f>
        <v>0</v>
      </c>
      <c r="F117" s="23">
        <f>ROUND($F$12/4,4)</f>
        <v>0.0036</v>
      </c>
      <c r="G117" s="23">
        <f t="shared" si="60"/>
        <v>0.1374</v>
      </c>
      <c r="H117" s="23">
        <f t="shared" si="57"/>
        <v>0.0048</v>
      </c>
      <c r="I117" s="23">
        <f t="shared" si="61"/>
        <v>0.1422</v>
      </c>
      <c r="J117" s="23">
        <f>ROUND(J$12/4,4)</f>
        <v>-0.0353</v>
      </c>
      <c r="K117" s="23">
        <f>ROUND(K$12/4,4)</f>
        <v>0.0617</v>
      </c>
      <c r="L117" s="207">
        <f t="shared" si="58"/>
        <v>0.1686</v>
      </c>
      <c r="N117" s="100">
        <v>0.2764</v>
      </c>
      <c r="O117" s="100">
        <v>0.4975</v>
      </c>
      <c r="P117" s="210">
        <f>IF(ROUND((L117*(1-MAX_DISC)+(HANDLING_ADJ/4))/(1-RETIAL_PRFT),2)&lt;=L117,ROUND(L117+0.01,2),ROUND((L117*(1-MAX_DISC)+(HANDLING_ADJ/4))/(1-RETIAL_PRFT),2))</f>
        <v>0.18</v>
      </c>
      <c r="Q117" s="130">
        <v>0.28</v>
      </c>
      <c r="R117" s="146">
        <f t="shared" si="62"/>
        <v>-0.10779999999999998</v>
      </c>
      <c r="S117" s="150">
        <f t="shared" si="59"/>
        <v>-0.10000000000000003</v>
      </c>
      <c r="T117" s="155">
        <v>0.51</v>
      </c>
    </row>
    <row r="118" spans="1:20" ht="14.25" thickBot="1" thickTop="1">
      <c r="A118" s="15" t="s">
        <v>70</v>
      </c>
      <c r="B118" s="88">
        <f>'CNTNR COST'!G117</f>
        <v>0.0646</v>
      </c>
      <c r="C118" s="23">
        <f>ROUND(C113/8,4)</f>
        <v>0.0234</v>
      </c>
      <c r="D118" s="23">
        <f>+$D$17</f>
        <v>0.02</v>
      </c>
      <c r="E118" s="23">
        <f>ROUND($E$12/8,4)</f>
        <v>0</v>
      </c>
      <c r="F118" s="23">
        <f>ROUND($F$12/8,4)</f>
        <v>0.0018</v>
      </c>
      <c r="G118" s="23">
        <f t="shared" si="60"/>
        <v>0.1098</v>
      </c>
      <c r="H118" s="23">
        <f t="shared" si="57"/>
        <v>0.0039</v>
      </c>
      <c r="I118" s="23">
        <f t="shared" si="61"/>
        <v>0.1137</v>
      </c>
      <c r="J118" s="23">
        <f>ROUND(J$12/8,4)</f>
        <v>-0.0176</v>
      </c>
      <c r="K118" s="23">
        <f>ROUND(K$12/8,4)</f>
        <v>0.0308</v>
      </c>
      <c r="L118" s="207">
        <f t="shared" si="58"/>
        <v>0.1269</v>
      </c>
      <c r="N118" s="100"/>
      <c r="O118" s="100">
        <v>0.2619</v>
      </c>
      <c r="P118" s="210">
        <f>IF(ROUND((L118*(1-MAX_DISC)+(HANDLING_ADJ/8))/(1-RETIAL_PRFT),2)&lt;=L118,ROUND(L118+0.01,2),ROUND((L118*(1-MAX_DISC)+(HANDLING_ADJ/8))/(1-RETIAL_PRFT),2))</f>
        <v>0.14</v>
      </c>
      <c r="Q118" s="130"/>
      <c r="R118" s="146">
        <f t="shared" si="62"/>
        <v>0.1269</v>
      </c>
      <c r="S118" s="150">
        <f t="shared" si="59"/>
        <v>0.14</v>
      </c>
      <c r="T118" s="155">
        <v>0.27</v>
      </c>
    </row>
    <row r="119" spans="1:20" ht="14.25" thickBot="1" thickTop="1">
      <c r="A119" s="15" t="s">
        <v>98</v>
      </c>
      <c r="B119" s="89">
        <f>'CNTNR COST'!G118</f>
        <v>0.4056</v>
      </c>
      <c r="C119" s="31">
        <f>C113</f>
        <v>0.1868</v>
      </c>
      <c r="D119" s="31">
        <f>+$D$18</f>
        <v>0.1078</v>
      </c>
      <c r="E119" s="31">
        <f>ROUND($E$12,4)</f>
        <v>0</v>
      </c>
      <c r="F119" s="31">
        <f>ROUND($F$12,4)</f>
        <v>0.0142</v>
      </c>
      <c r="G119" s="31">
        <f t="shared" si="60"/>
        <v>0.7144</v>
      </c>
      <c r="H119" s="31">
        <f t="shared" si="57"/>
        <v>0.0251</v>
      </c>
      <c r="I119" s="31">
        <f t="shared" si="61"/>
        <v>0.7395</v>
      </c>
      <c r="J119" s="31">
        <f>J$12</f>
        <v>-0.141</v>
      </c>
      <c r="K119" s="31">
        <f>K$12</f>
        <v>0.2466</v>
      </c>
      <c r="L119" s="208">
        <f t="shared" si="58"/>
        <v>0.8451</v>
      </c>
      <c r="N119" s="101">
        <v>1.0199</v>
      </c>
      <c r="O119" s="101">
        <v>1.9225</v>
      </c>
      <c r="P119" s="211">
        <f>IF(ROUND((L119*(1-MAX_DISC)+HANDLING_ADJ)/(1-RETIAL_PRFT),2)&lt;=L119,ROUND(L119+0.01,2),ROUND((L119*(1-MAX_DISC)+HANDLING_ADJ)/(1-RETIAL_PRFT),2))</f>
        <v>0.86</v>
      </c>
      <c r="Q119" s="131">
        <v>1.04</v>
      </c>
      <c r="R119" s="146">
        <f t="shared" si="62"/>
        <v>-0.17480000000000007</v>
      </c>
      <c r="S119" s="150">
        <f t="shared" si="59"/>
        <v>-0.18000000000000005</v>
      </c>
      <c r="T119" s="156">
        <v>1.93</v>
      </c>
    </row>
    <row r="120" spans="1:19" ht="14.25" thickBot="1" thickTop="1">
      <c r="A120" s="29" t="s">
        <v>58</v>
      </c>
      <c r="B120" s="32"/>
      <c r="D120" s="32"/>
      <c r="E120" s="32"/>
      <c r="N120" s="98"/>
      <c r="O120" s="98"/>
      <c r="P120" s="150"/>
      <c r="Q120" s="134"/>
      <c r="S120" s="150" t="s">
        <v>8</v>
      </c>
    </row>
    <row r="121" spans="1:20" ht="14.25" thickBot="1" thickTop="1">
      <c r="A121" s="15" t="s">
        <v>67</v>
      </c>
      <c r="B121" s="87">
        <f>'CNTNR COST'!G120</f>
        <v>0.5854</v>
      </c>
      <c r="C121" s="30">
        <f>C122*2</f>
        <v>0.3736</v>
      </c>
      <c r="D121" s="30">
        <f>+$D$11</f>
        <v>-0.0324</v>
      </c>
      <c r="E121" s="30">
        <f>ROUND($E$12*2,4)</f>
        <v>0</v>
      </c>
      <c r="F121" s="30">
        <f>ROUND($F$12*2,4)</f>
        <v>0.0284</v>
      </c>
      <c r="G121" s="30">
        <f aca="true" t="shared" si="63" ref="G121:G128">ROUND(SUM(B121:F121),4)</f>
        <v>0.955</v>
      </c>
      <c r="H121" s="30">
        <f aca="true" t="shared" si="64" ref="H121:H128">ROUND((G121/(1-$H$5))-G121,4)</f>
        <v>0.0336</v>
      </c>
      <c r="I121" s="30">
        <f aca="true" t="shared" si="65" ref="I121:I128">ROUND(G121+H121,4)</f>
        <v>0.9886</v>
      </c>
      <c r="J121" s="30">
        <f>ROUND(J$12*2,4)</f>
        <v>-0.282</v>
      </c>
      <c r="K121" s="30">
        <f>ROUND(K$12*2,4)</f>
        <v>0.4932</v>
      </c>
      <c r="L121" s="206">
        <f aca="true" t="shared" si="66" ref="L121:L128">ROUND(SUM(I121:K121),4)</f>
        <v>1.1998</v>
      </c>
      <c r="N121" s="99"/>
      <c r="O121" s="99">
        <v>4.8821</v>
      </c>
      <c r="P121" s="209">
        <f>IF(ROUND((L121*(1-MAX_DISC)+(2*HANDLING_ADJ))/(1-RETIAL_PRFT),2)&lt;=L121,ROUND(L121+0.01,2),ROUND((L121*(1-MAX_DISC)+(2*HANDLING_ADJ))/(1-RETIAL_PRFT),2))</f>
        <v>1.21</v>
      </c>
      <c r="Q121" s="129"/>
      <c r="R121" s="146">
        <f t="shared" si="62"/>
        <v>1.1998</v>
      </c>
      <c r="S121" s="150">
        <f aca="true" t="shared" si="67" ref="S121:S128">P121-Q121</f>
        <v>1.21</v>
      </c>
      <c r="T121" s="155">
        <v>4.89</v>
      </c>
    </row>
    <row r="122" spans="1:20" ht="14.25" thickBot="1" thickTop="1">
      <c r="A122" s="15" t="s">
        <v>12</v>
      </c>
      <c r="B122" s="88">
        <f>'CNTNR COST'!G121</f>
        <v>0.2927</v>
      </c>
      <c r="C122" s="23">
        <f>CREAM_ADDON</f>
        <v>0.1868</v>
      </c>
      <c r="D122" s="23">
        <f>+$D$12</f>
        <v>0.0264</v>
      </c>
      <c r="E122" s="23">
        <f>ROUND(ENERGY_ADDON,4)</f>
        <v>0</v>
      </c>
      <c r="F122" s="23">
        <f>ROUND(COST_UPDATE_ADJ,4)</f>
        <v>0.0142</v>
      </c>
      <c r="G122" s="23">
        <f t="shared" si="63"/>
        <v>0.5201</v>
      </c>
      <c r="H122" s="23">
        <f t="shared" si="64"/>
        <v>0.0183</v>
      </c>
      <c r="I122" s="23">
        <f t="shared" si="65"/>
        <v>0.5384</v>
      </c>
      <c r="J122" s="23">
        <f>$J$12</f>
        <v>-0.141</v>
      </c>
      <c r="K122" s="23">
        <f>$K$12</f>
        <v>0.2466</v>
      </c>
      <c r="L122" s="207">
        <f t="shared" si="66"/>
        <v>0.644</v>
      </c>
      <c r="N122" s="100">
        <v>1.2087</v>
      </c>
      <c r="O122" s="100">
        <v>2.4956</v>
      </c>
      <c r="P122" s="210">
        <f>IF(ROUND((L122*(1-MAX_DISC)+HANDLING_ADJ)/(1-RETIAL_PRFT),2)&lt;=L122,ROUND(L122+0.01,2),ROUND((L122*(1-MAX_DISC)++HANDLING_ADJ)/(1-RETIAL_PRFT),2))</f>
        <v>0.65</v>
      </c>
      <c r="Q122" s="130">
        <v>1.23</v>
      </c>
      <c r="R122" s="146">
        <f t="shared" si="62"/>
        <v>-0.5647000000000001</v>
      </c>
      <c r="S122" s="150">
        <f t="shared" si="67"/>
        <v>-0.58</v>
      </c>
      <c r="T122" s="155">
        <v>2.51</v>
      </c>
    </row>
    <row r="123" spans="1:20" ht="14.25" thickBot="1" thickTop="1">
      <c r="A123" s="15" t="s">
        <v>13</v>
      </c>
      <c r="B123" s="88">
        <f>'CNTNR COST'!G122</f>
        <v>0.1464</v>
      </c>
      <c r="C123" s="23">
        <f>ROUND(C122/2,4)</f>
        <v>0.0934</v>
      </c>
      <c r="D123" s="23">
        <f>+$D$13</f>
        <v>0.0249</v>
      </c>
      <c r="E123" s="23">
        <f>ROUND($E$12/2,4)</f>
        <v>0</v>
      </c>
      <c r="F123" s="23">
        <f>ROUND($F$12/2,4)</f>
        <v>0.0071</v>
      </c>
      <c r="G123" s="23">
        <f t="shared" si="63"/>
        <v>0.2718</v>
      </c>
      <c r="H123" s="23">
        <f t="shared" si="64"/>
        <v>0.0096</v>
      </c>
      <c r="I123" s="23">
        <f t="shared" si="65"/>
        <v>0.2814</v>
      </c>
      <c r="J123" s="23">
        <f>ROUND(J$12/2,4)</f>
        <v>-0.0705</v>
      </c>
      <c r="K123" s="23">
        <f>ROUND(K$12/2,4)</f>
        <v>0.1233</v>
      </c>
      <c r="L123" s="207">
        <f t="shared" si="66"/>
        <v>0.3342</v>
      </c>
      <c r="N123" s="100">
        <v>0.6872</v>
      </c>
      <c r="O123" s="100">
        <v>1.3074</v>
      </c>
      <c r="P123" s="210">
        <f>IF(ROUND((L123*(1-MAX_DISC)+(HANDLING_ADJ/2))/(1-RETIAL_PRFT),2)&lt;=L123,ROUND(L123+0.01,2),ROUND((L123*(1-MAX_DISC)+(HANDLING_ADJ/2))/(1-RETIAL_PRFT),2))</f>
        <v>0.34</v>
      </c>
      <c r="Q123" s="130">
        <v>0.7</v>
      </c>
      <c r="R123" s="146">
        <f t="shared" si="62"/>
        <v>-0.35300000000000004</v>
      </c>
      <c r="S123" s="150">
        <f t="shared" si="67"/>
        <v>-0.35999999999999993</v>
      </c>
      <c r="T123" s="155">
        <v>1.32</v>
      </c>
    </row>
    <row r="124" spans="1:20" ht="14.25" thickBot="1" thickTop="1">
      <c r="A124" s="15" t="s">
        <v>189</v>
      </c>
      <c r="B124" s="88">
        <f>'CNTNR COST'!G123</f>
        <v>0.1465</v>
      </c>
      <c r="C124" s="23">
        <f>ROUND(C122/32*12,4)</f>
        <v>0.0701</v>
      </c>
      <c r="D124" s="23">
        <f>+$D$14</f>
        <v>0.0194</v>
      </c>
      <c r="E124" s="23">
        <f>ROUND($E$12/32*12,4)</f>
        <v>0</v>
      </c>
      <c r="F124" s="23">
        <f>ROUND($F$12/32*12,4)</f>
        <v>0.0053</v>
      </c>
      <c r="G124" s="23">
        <f t="shared" si="63"/>
        <v>0.2413</v>
      </c>
      <c r="H124" s="23">
        <f t="shared" si="64"/>
        <v>0.0085</v>
      </c>
      <c r="I124" s="23">
        <f t="shared" si="65"/>
        <v>0.2498</v>
      </c>
      <c r="J124" s="23">
        <f>ROUND(J122/32*12,4)</f>
        <v>-0.0529</v>
      </c>
      <c r="K124" s="23">
        <f>ROUND(K122/32*12,4)</f>
        <v>0.0925</v>
      </c>
      <c r="L124" s="207">
        <f>ROUND(SUM(I124:K124),4)</f>
        <v>0.2894</v>
      </c>
      <c r="N124" s="100"/>
      <c r="O124" s="100"/>
      <c r="P124" s="210">
        <f>IF(ROUND((L124*(1-MAX_DISC)+(HANDLING_ADJ*0.375))/(1-RETIAL_PRFT),2)&lt;=L124,ROUND(L124+0.01,2),ROUND((L124*(1-MAX_DISC)+(HANDLING_ADJ*0.375))/(1-RETIAL_PRFT),2))</f>
        <v>0.3</v>
      </c>
      <c r="Q124" s="130"/>
      <c r="T124" s="155"/>
    </row>
    <row r="125" spans="1:20" ht="14.25" thickBot="1" thickTop="1">
      <c r="A125" s="15" t="s">
        <v>68</v>
      </c>
      <c r="B125" s="88">
        <f>'CNTNR COST'!G124</f>
        <v>0.1459</v>
      </c>
      <c r="C125" s="23">
        <f>ROUND(C122/32*10,4)</f>
        <v>0.0584</v>
      </c>
      <c r="D125" s="23">
        <f>+$D$15</f>
        <v>0.0139</v>
      </c>
      <c r="E125" s="23">
        <f>ROUND($E$12/32*10,4)</f>
        <v>0</v>
      </c>
      <c r="F125" s="23">
        <f>ROUND($F$12/32*10,4)</f>
        <v>0.0044</v>
      </c>
      <c r="G125" s="23">
        <f t="shared" si="63"/>
        <v>0.2226</v>
      </c>
      <c r="H125" s="23">
        <f t="shared" si="64"/>
        <v>0.0078</v>
      </c>
      <c r="I125" s="23">
        <f t="shared" si="65"/>
        <v>0.2304</v>
      </c>
      <c r="J125" s="23">
        <f>ROUND(J122/32*10,4)</f>
        <v>-0.0441</v>
      </c>
      <c r="K125" s="23">
        <f>ROUND(K122/32*10,4)</f>
        <v>0.0771</v>
      </c>
      <c r="L125" s="207">
        <f t="shared" si="66"/>
        <v>0.2634</v>
      </c>
      <c r="N125" s="100">
        <v>0.4003</v>
      </c>
      <c r="O125" s="100">
        <v>0.79</v>
      </c>
      <c r="P125" s="210">
        <f>IF(ROUND((L125*(1-MAX_DISC)+(HANDLING_ADJ*0.3125))/(1-RETIAL_PRFT),2)&lt;=L125,ROUND(L125+0.01,2),ROUND((L125*(1-MAX_DISC)+(HANDLING_ADJ*0.3125))/(1-RETIAL_PRFT),2))</f>
        <v>0.27</v>
      </c>
      <c r="Q125" s="130">
        <v>0.41</v>
      </c>
      <c r="R125" s="146">
        <f t="shared" si="62"/>
        <v>-0.13689999999999997</v>
      </c>
      <c r="S125" s="150">
        <f t="shared" si="67"/>
        <v>-0.13999999999999996</v>
      </c>
      <c r="T125" s="155">
        <v>0.8</v>
      </c>
    </row>
    <row r="126" spans="1:20" ht="14.25" thickBot="1" thickTop="1">
      <c r="A126" s="15" t="s">
        <v>69</v>
      </c>
      <c r="B126" s="88">
        <f>'CNTNR COST'!G125</f>
        <v>0.0732</v>
      </c>
      <c r="C126" s="23">
        <f>ROUND(C122/4,4)</f>
        <v>0.0467</v>
      </c>
      <c r="D126" s="23">
        <f>+$D$16</f>
        <v>0.0139</v>
      </c>
      <c r="E126" s="23">
        <f>ROUND($E$12/4,4)</f>
        <v>0</v>
      </c>
      <c r="F126" s="23">
        <f>ROUND($F$12/4,4)</f>
        <v>0.0036</v>
      </c>
      <c r="G126" s="23">
        <f t="shared" si="63"/>
        <v>0.1374</v>
      </c>
      <c r="H126" s="23">
        <f t="shared" si="64"/>
        <v>0.0048</v>
      </c>
      <c r="I126" s="23">
        <f t="shared" si="65"/>
        <v>0.1422</v>
      </c>
      <c r="J126" s="23">
        <f>ROUND(J$12/4,4)</f>
        <v>-0.0353</v>
      </c>
      <c r="K126" s="23">
        <f>ROUND(K$12/4,4)</f>
        <v>0.0617</v>
      </c>
      <c r="L126" s="207">
        <f t="shared" si="66"/>
        <v>0.1686</v>
      </c>
      <c r="N126" s="100">
        <v>0.3437</v>
      </c>
      <c r="O126" s="100">
        <v>0.6324</v>
      </c>
      <c r="P126" s="210">
        <f>IF(ROUND((L126*(1-MAX_DISC)+(HANDLING_ADJ/4))/(1-RETIAL_PRFT),2)&lt;=L126,ROUND(L126+0.01,2),ROUND((L126*(1-MAX_DISC)+(HANDLING_ADJ/4))/(1-RETIAL_PRFT),2))</f>
        <v>0.18</v>
      </c>
      <c r="Q126" s="130">
        <v>0.35</v>
      </c>
      <c r="R126" s="146">
        <f t="shared" si="62"/>
        <v>-0.1751</v>
      </c>
      <c r="S126" s="150">
        <f t="shared" si="67"/>
        <v>-0.16999999999999998</v>
      </c>
      <c r="T126" s="155">
        <v>0.64</v>
      </c>
    </row>
    <row r="127" spans="1:20" ht="14.25" thickBot="1" thickTop="1">
      <c r="A127" s="15" t="s">
        <v>70</v>
      </c>
      <c r="B127" s="88">
        <f>'CNTNR COST'!G126</f>
        <v>0.0646</v>
      </c>
      <c r="C127" s="23">
        <f>ROUND(C122/8,4)</f>
        <v>0.0234</v>
      </c>
      <c r="D127" s="23">
        <f>+$D$17</f>
        <v>0.02</v>
      </c>
      <c r="E127" s="23">
        <f>ROUND($E$12/8,4)</f>
        <v>0</v>
      </c>
      <c r="F127" s="23">
        <f>ROUND($F$12/8,4)</f>
        <v>0.0018</v>
      </c>
      <c r="G127" s="23">
        <f t="shared" si="63"/>
        <v>0.1098</v>
      </c>
      <c r="H127" s="23">
        <f t="shared" si="64"/>
        <v>0.0039</v>
      </c>
      <c r="I127" s="23">
        <f t="shared" si="65"/>
        <v>0.1137</v>
      </c>
      <c r="J127" s="23">
        <f>ROUND(J$12/8,4)</f>
        <v>-0.0176</v>
      </c>
      <c r="K127" s="23">
        <f>ROUND(K$12/8,4)</f>
        <v>0.0308</v>
      </c>
      <c r="L127" s="207">
        <f t="shared" si="66"/>
        <v>0.1269</v>
      </c>
      <c r="N127" s="100"/>
      <c r="O127" s="100">
        <v>0.3295</v>
      </c>
      <c r="P127" s="210">
        <f>IF(ROUND((L127*(1-MAX_DISC)+(HANDLING_ADJ/8))/(1-RETIAL_PRFT),2)&lt;=L127,ROUND(L127+0.01,2),ROUND((L127*(1-MAX_DISC)+(HANDLING_ADJ/8))/(1-RETIAL_PRFT),2))</f>
        <v>0.14</v>
      </c>
      <c r="Q127" s="130" t="s">
        <v>8</v>
      </c>
      <c r="R127" s="146">
        <f t="shared" si="62"/>
        <v>0.1269</v>
      </c>
      <c r="S127" s="150" t="s">
        <v>8</v>
      </c>
      <c r="T127" s="155">
        <v>0.34</v>
      </c>
    </row>
    <row r="128" spans="1:20" ht="14.25" thickBot="1" thickTop="1">
      <c r="A128" s="15" t="s">
        <v>98</v>
      </c>
      <c r="B128" s="89">
        <f>'CNTNR COST'!G127</f>
        <v>0.4056</v>
      </c>
      <c r="C128" s="31">
        <f>C122</f>
        <v>0.1868</v>
      </c>
      <c r="D128" s="31">
        <f>+$D$18</f>
        <v>0.1078</v>
      </c>
      <c r="E128" s="31">
        <f>ROUND($E$12,4)</f>
        <v>0</v>
      </c>
      <c r="F128" s="31">
        <f>ROUND($F$12,4)</f>
        <v>0.0142</v>
      </c>
      <c r="G128" s="31">
        <f t="shared" si="63"/>
        <v>0.7144</v>
      </c>
      <c r="H128" s="31">
        <f t="shared" si="64"/>
        <v>0.0251</v>
      </c>
      <c r="I128" s="31">
        <f t="shared" si="65"/>
        <v>0.7395</v>
      </c>
      <c r="J128" s="31">
        <f>J$12</f>
        <v>-0.141</v>
      </c>
      <c r="K128" s="31">
        <f>K$12</f>
        <v>0.2466</v>
      </c>
      <c r="L128" s="208">
        <f t="shared" si="66"/>
        <v>0.8451</v>
      </c>
      <c r="N128" s="101">
        <v>1.2207</v>
      </c>
      <c r="O128" s="31">
        <v>2.4624</v>
      </c>
      <c r="P128" s="211">
        <f>IF(ROUND((L128*(1-MAX_DISC)+HANDLING_ADJ)/(1-RETIAL_PRFT),2)&lt;=L128,ROUND(L128+0.01,2),ROUND((L128*(1-MAX_DISC)+HANDLING_ADJ)/(1-RETIAL_PRFT),2))</f>
        <v>0.86</v>
      </c>
      <c r="Q128" s="131">
        <v>1.24</v>
      </c>
      <c r="R128" s="146">
        <f t="shared" si="62"/>
        <v>-0.37559999999999993</v>
      </c>
      <c r="S128" s="150">
        <f t="shared" si="67"/>
        <v>-0.38</v>
      </c>
      <c r="T128" s="156">
        <v>2.47</v>
      </c>
    </row>
    <row r="129" spans="1:19" ht="14.25" thickBot="1" thickTop="1">
      <c r="A129" s="29" t="s">
        <v>59</v>
      </c>
      <c r="B129" s="32"/>
      <c r="D129" s="32"/>
      <c r="E129" s="32"/>
      <c r="N129" s="98"/>
      <c r="O129" s="98"/>
      <c r="P129" s="150"/>
      <c r="Q129" s="134"/>
      <c r="R129" s="146" t="s">
        <v>8</v>
      </c>
      <c r="S129" s="150" t="s">
        <v>8</v>
      </c>
    </row>
    <row r="130" spans="1:20" ht="14.25" thickBot="1" thickTop="1">
      <c r="A130" s="15" t="s">
        <v>67</v>
      </c>
      <c r="B130" s="87">
        <f>'CNTNR COST'!G129</f>
        <v>0.5854</v>
      </c>
      <c r="C130" s="30">
        <f>C131*2</f>
        <v>0.3736</v>
      </c>
      <c r="D130" s="30">
        <f>+$D$11</f>
        <v>-0.0324</v>
      </c>
      <c r="E130" s="30">
        <f>ROUND($E$12*2,4)</f>
        <v>0</v>
      </c>
      <c r="F130" s="30">
        <f>ROUND($F$12*2,4)</f>
        <v>0.0284</v>
      </c>
      <c r="G130" s="30">
        <f aca="true" t="shared" si="68" ref="G130:G137">ROUND(SUM(B130:F130),4)</f>
        <v>0.955</v>
      </c>
      <c r="H130" s="30">
        <f aca="true" t="shared" si="69" ref="H130:H137">ROUND((G130/(1-$H$5))-G130,4)</f>
        <v>0.0336</v>
      </c>
      <c r="I130" s="30">
        <f aca="true" t="shared" si="70" ref="I130:I137">ROUND(G130+H130,4)</f>
        <v>0.9886</v>
      </c>
      <c r="J130" s="30">
        <f>ROUND(J$12*2,4)</f>
        <v>-0.282</v>
      </c>
      <c r="K130" s="30">
        <f>ROUND(K$12*2,4)</f>
        <v>0.4932</v>
      </c>
      <c r="L130" s="206">
        <f aca="true" t="shared" si="71" ref="L130:L137">ROUND(SUM(I130:K130),4)</f>
        <v>1.1998</v>
      </c>
      <c r="N130" s="99"/>
      <c r="O130" s="99">
        <v>5.4165</v>
      </c>
      <c r="P130" s="209">
        <f>IF(ROUND((L130*(1-MAX_DISC)+(2*HANDLING_ADJ))/(1-RETIAL_PRFT),2)&lt;=L130,ROUND(L130+0.01,2),ROUND((L130*(1-MAX_DISC)+(2*HANDLING_ADJ))/(1-RETIAL_PRFT),2))</f>
        <v>1.21</v>
      </c>
      <c r="Q130" s="129"/>
      <c r="R130" s="146">
        <f t="shared" si="62"/>
        <v>1.1998</v>
      </c>
      <c r="S130" s="150">
        <f aca="true" t="shared" si="72" ref="S130:S137">P130-Q130</f>
        <v>1.21</v>
      </c>
      <c r="T130" s="155">
        <v>5.43</v>
      </c>
    </row>
    <row r="131" spans="1:20" ht="14.25" thickBot="1" thickTop="1">
      <c r="A131" s="15" t="s">
        <v>12</v>
      </c>
      <c r="B131" s="88">
        <f>'CNTNR COST'!G130</f>
        <v>0.2927</v>
      </c>
      <c r="C131" s="23">
        <f>CREAM_ADDON</f>
        <v>0.1868</v>
      </c>
      <c r="D131" s="23">
        <f>+$D$12</f>
        <v>0.0264</v>
      </c>
      <c r="E131" s="23">
        <f>ROUND(ENERGY_ADDON,4)</f>
        <v>0</v>
      </c>
      <c r="F131" s="23">
        <f>ROUND(COST_UPDATE_ADJ,4)</f>
        <v>0.0142</v>
      </c>
      <c r="G131" s="23">
        <f t="shared" si="68"/>
        <v>0.5201</v>
      </c>
      <c r="H131" s="23">
        <f t="shared" si="69"/>
        <v>0.0183</v>
      </c>
      <c r="I131" s="23">
        <f t="shared" si="70"/>
        <v>0.5384</v>
      </c>
      <c r="J131" s="23">
        <f>$J$12</f>
        <v>-0.141</v>
      </c>
      <c r="K131" s="23">
        <f>$K$12</f>
        <v>0.2466</v>
      </c>
      <c r="L131" s="207">
        <f t="shared" si="71"/>
        <v>0.644</v>
      </c>
      <c r="N131" s="100">
        <v>1.3817</v>
      </c>
      <c r="O131" s="100">
        <v>2.7628</v>
      </c>
      <c r="P131" s="210">
        <f>IF(ROUND((L131*(1-MAX_DISC)+HANDLING_ADJ)/(1-RETIAL_PRFT),2)&lt;=L131,ROUND(L131+0.01,2),ROUND((L131*(1-MAX_DISC)++HANDLING_ADJ)/(1-RETIAL_PRFT),2))</f>
        <v>0.65</v>
      </c>
      <c r="Q131" s="130">
        <v>1.41</v>
      </c>
      <c r="R131" s="146">
        <f t="shared" si="62"/>
        <v>-0.7376999999999999</v>
      </c>
      <c r="S131" s="150">
        <f t="shared" si="72"/>
        <v>-0.7599999999999999</v>
      </c>
      <c r="T131" s="155">
        <v>2.77</v>
      </c>
    </row>
    <row r="132" spans="1:20" ht="14.25" thickBot="1" thickTop="1">
      <c r="A132" s="15" t="s">
        <v>13</v>
      </c>
      <c r="B132" s="88">
        <f>'CNTNR COST'!G131</f>
        <v>0.1464</v>
      </c>
      <c r="C132" s="23">
        <f>ROUND(C131/2,4)</f>
        <v>0.0934</v>
      </c>
      <c r="D132" s="23">
        <f>+$D$13</f>
        <v>0.0249</v>
      </c>
      <c r="E132" s="23">
        <f>ROUND($E$12/2,4)</f>
        <v>0</v>
      </c>
      <c r="F132" s="23">
        <f>ROUND($F$12/2,4)</f>
        <v>0.0071</v>
      </c>
      <c r="G132" s="23">
        <f t="shared" si="68"/>
        <v>0.2718</v>
      </c>
      <c r="H132" s="23">
        <f t="shared" si="69"/>
        <v>0.0096</v>
      </c>
      <c r="I132" s="23">
        <f t="shared" si="70"/>
        <v>0.2814</v>
      </c>
      <c r="J132" s="23">
        <f>ROUND(J$12/2,4)</f>
        <v>-0.0705</v>
      </c>
      <c r="K132" s="23">
        <f>ROUND(K$12/2,4)</f>
        <v>0.1233</v>
      </c>
      <c r="L132" s="207">
        <f t="shared" si="71"/>
        <v>0.3342</v>
      </c>
      <c r="N132" s="100">
        <v>0.8079</v>
      </c>
      <c r="O132" s="100">
        <v>1.441</v>
      </c>
      <c r="P132" s="210">
        <f>IF(ROUND((L132*(1-MAX_DISC)+(HANDLING_ADJ/2))/(1-RETIAL_PRFT),2)&lt;=L132,ROUND(L132+0.01,2),ROUND((L132*(1-MAX_DISC)+(HANDLING_ADJ/2))/(1-RETIAL_PRFT),2))</f>
        <v>0.34</v>
      </c>
      <c r="Q132" s="130">
        <v>0.82</v>
      </c>
      <c r="R132" s="146">
        <f t="shared" si="62"/>
        <v>-0.47369999999999995</v>
      </c>
      <c r="S132" s="150">
        <f t="shared" si="72"/>
        <v>-0.4799999999999999</v>
      </c>
      <c r="T132" s="155">
        <v>1.45</v>
      </c>
    </row>
    <row r="133" spans="1:20" ht="14.25" thickBot="1" thickTop="1">
      <c r="A133" s="15" t="s">
        <v>189</v>
      </c>
      <c r="B133" s="88">
        <f>'CNTNR COST'!G132</f>
        <v>0.1465</v>
      </c>
      <c r="C133" s="23">
        <f>ROUND(C131/32*12,4)</f>
        <v>0.0701</v>
      </c>
      <c r="D133" s="23">
        <f>+$D$14</f>
        <v>0.0194</v>
      </c>
      <c r="E133" s="23">
        <f>ROUND($E$12/32*12,4)</f>
        <v>0</v>
      </c>
      <c r="F133" s="23">
        <f>ROUND($F$12/32*12,4)</f>
        <v>0.0053</v>
      </c>
      <c r="G133" s="23">
        <f t="shared" si="68"/>
        <v>0.2413</v>
      </c>
      <c r="H133" s="23">
        <f t="shared" si="69"/>
        <v>0.0085</v>
      </c>
      <c r="I133" s="23">
        <f t="shared" si="70"/>
        <v>0.2498</v>
      </c>
      <c r="J133" s="23">
        <f>ROUND(J131/32*12,4)</f>
        <v>-0.0529</v>
      </c>
      <c r="K133" s="23">
        <f>ROUND(K131/32*12,4)</f>
        <v>0.0925</v>
      </c>
      <c r="L133" s="207">
        <f>ROUND(SUM(I133:K133),4)</f>
        <v>0.2894</v>
      </c>
      <c r="N133" s="100"/>
      <c r="O133" s="100"/>
      <c r="P133" s="210">
        <f>IF(ROUND((L133*(1-MAX_DISC)+(HANDLING_ADJ*0.375))/(1-RETIAL_PRFT),2)&lt;=L133,ROUND(L133+0.01,2),ROUND((L133*(1-MAX_DISC)+(HANDLING_ADJ*0.375))/(1-RETIAL_PRFT),2))</f>
        <v>0.3</v>
      </c>
      <c r="Q133" s="130"/>
      <c r="T133" s="155"/>
    </row>
    <row r="134" spans="1:20" ht="14.25" thickBot="1" thickTop="1">
      <c r="A134" s="15" t="s">
        <v>68</v>
      </c>
      <c r="B134" s="88">
        <f>'CNTNR COST'!G133</f>
        <v>0.1459</v>
      </c>
      <c r="C134" s="23">
        <f>ROUND(C131/32*10,4)</f>
        <v>0.0584</v>
      </c>
      <c r="D134" s="23">
        <f>+$D$15</f>
        <v>0.0139</v>
      </c>
      <c r="E134" s="23">
        <f>ROUND($E$12/32*10,4)</f>
        <v>0</v>
      </c>
      <c r="F134" s="23">
        <f>ROUND($F$12/32*10,4)</f>
        <v>0.0044</v>
      </c>
      <c r="G134" s="23">
        <f t="shared" si="68"/>
        <v>0.2226</v>
      </c>
      <c r="H134" s="23">
        <f t="shared" si="69"/>
        <v>0.0078</v>
      </c>
      <c r="I134" s="23">
        <f t="shared" si="70"/>
        <v>0.2304</v>
      </c>
      <c r="J134" s="23">
        <f>ROUND(J131/32*10,4)</f>
        <v>-0.0441</v>
      </c>
      <c r="K134" s="23">
        <f>ROUND(K131/32*10,4)</f>
        <v>0.0771</v>
      </c>
      <c r="L134" s="207">
        <f t="shared" si="71"/>
        <v>0.2634</v>
      </c>
      <c r="N134" s="100">
        <v>0.4575</v>
      </c>
      <c r="O134" s="100">
        <v>0.8735</v>
      </c>
      <c r="P134" s="210">
        <f>IF(ROUND((L134*(1-MAX_DISC)+(HANDLING_ADJ*0.3125))/(1-RETIAL_PRFT),2)&lt;=L134,ROUND(L134+0.01,2),ROUND((L134*(1-MAX_DISC)+(HANDLING_ADJ*0.3125))/(1-RETIAL_PRFT),2))</f>
        <v>0.27</v>
      </c>
      <c r="Q134" s="130">
        <v>0.47</v>
      </c>
      <c r="R134" s="146">
        <f t="shared" si="62"/>
        <v>-0.1941</v>
      </c>
      <c r="S134" s="150">
        <f t="shared" si="72"/>
        <v>-0.19999999999999996</v>
      </c>
      <c r="T134" s="155">
        <v>0.88</v>
      </c>
    </row>
    <row r="135" spans="1:20" ht="14.25" thickBot="1" thickTop="1">
      <c r="A135" s="15" t="s">
        <v>69</v>
      </c>
      <c r="B135" s="88">
        <f>'CNTNR COST'!G134</f>
        <v>0.0732</v>
      </c>
      <c r="C135" s="23">
        <f>ROUND(C131/4,4)</f>
        <v>0.0467</v>
      </c>
      <c r="D135" s="23">
        <f>+$D$16</f>
        <v>0.0139</v>
      </c>
      <c r="E135" s="23">
        <f>ROUND($E$12/4,4)</f>
        <v>0</v>
      </c>
      <c r="F135" s="23">
        <f>ROUND($F$12/4,4)</f>
        <v>0.0036</v>
      </c>
      <c r="G135" s="23">
        <f t="shared" si="68"/>
        <v>0.1374</v>
      </c>
      <c r="H135" s="23">
        <f t="shared" si="69"/>
        <v>0.0048</v>
      </c>
      <c r="I135" s="23">
        <f t="shared" si="70"/>
        <v>0.1422</v>
      </c>
      <c r="J135" s="23">
        <f>ROUND(J$12/4,4)</f>
        <v>-0.0353</v>
      </c>
      <c r="K135" s="23">
        <f>ROUND(K$12/4,4)</f>
        <v>0.0617</v>
      </c>
      <c r="L135" s="207">
        <f t="shared" si="71"/>
        <v>0.1686</v>
      </c>
      <c r="N135" s="100">
        <v>0.4039</v>
      </c>
      <c r="O135" s="100">
        <v>0.6992</v>
      </c>
      <c r="P135" s="210">
        <f>IF(ROUND((L135*(1-MAX_DISC)+(HANDLING_ADJ/4))/(1-RETIAL_PRFT),2)&lt;=L135,ROUND(L135+0.01,2),ROUND((L135*(1-MAX_DISC)+(HANDLING_ADJ/4))/(1-RETIAL_PRFT),2))</f>
        <v>0.18</v>
      </c>
      <c r="Q135" s="130">
        <v>0.41</v>
      </c>
      <c r="R135" s="146">
        <f t="shared" si="62"/>
        <v>-0.23529999999999998</v>
      </c>
      <c r="S135" s="150">
        <f t="shared" si="72"/>
        <v>-0.22999999999999998</v>
      </c>
      <c r="T135" s="155">
        <v>0.71</v>
      </c>
    </row>
    <row r="136" spans="1:20" ht="14.25" thickBot="1" thickTop="1">
      <c r="A136" s="15" t="s">
        <v>70</v>
      </c>
      <c r="B136" s="88">
        <f>'CNTNR COST'!G135</f>
        <v>0.0646</v>
      </c>
      <c r="C136" s="23">
        <f>ROUND(C131/8,4)</f>
        <v>0.0234</v>
      </c>
      <c r="D136" s="23">
        <f>+$D$17</f>
        <v>0.02</v>
      </c>
      <c r="E136" s="23">
        <f>ROUND($E$12/8,4)</f>
        <v>0</v>
      </c>
      <c r="F136" s="23">
        <f>ROUND($F$12/8,4)</f>
        <v>0.0018</v>
      </c>
      <c r="G136" s="23">
        <f t="shared" si="68"/>
        <v>0.1098</v>
      </c>
      <c r="H136" s="23">
        <f t="shared" si="69"/>
        <v>0.0039</v>
      </c>
      <c r="I136" s="23">
        <f t="shared" si="70"/>
        <v>0.1137</v>
      </c>
      <c r="J136" s="23">
        <f>ROUND(J$12/8,4)</f>
        <v>-0.0176</v>
      </c>
      <c r="K136" s="23">
        <f>ROUND(K$12/8,4)</f>
        <v>0.0308</v>
      </c>
      <c r="L136" s="207">
        <f t="shared" si="71"/>
        <v>0.1269</v>
      </c>
      <c r="N136" s="100"/>
      <c r="O136" s="100">
        <v>0.3629</v>
      </c>
      <c r="P136" s="210">
        <f>IF(ROUND((L136*(1-MAX_DISC)+(HANDLING_ADJ/8))/(1-RETIAL_PRFT),2)&lt;=L136,ROUND(L136+0.01,2),ROUND((L136*(1-MAX_DISC)+(HANDLING_ADJ/8))/(1-RETIAL_PRFT),2))</f>
        <v>0.14</v>
      </c>
      <c r="Q136" s="130"/>
      <c r="R136" s="146">
        <f t="shared" si="62"/>
        <v>0.1269</v>
      </c>
      <c r="S136" s="150">
        <f t="shared" si="72"/>
        <v>0.14</v>
      </c>
      <c r="T136" s="155">
        <v>0.37</v>
      </c>
    </row>
    <row r="137" spans="1:20" ht="14.25" thickBot="1" thickTop="1">
      <c r="A137" s="15" t="s">
        <v>98</v>
      </c>
      <c r="B137" s="89">
        <f>'CNTNR COST'!G136</f>
        <v>0.4056</v>
      </c>
      <c r="C137" s="31">
        <f>C131</f>
        <v>0.1868</v>
      </c>
      <c r="D137" s="31">
        <f>+$D$18</f>
        <v>0.1078</v>
      </c>
      <c r="E137" s="31">
        <f>ROUND($E$12,4)</f>
        <v>0</v>
      </c>
      <c r="F137" s="31">
        <f>ROUND($F$12,4)</f>
        <v>0.0142</v>
      </c>
      <c r="G137" s="31">
        <f t="shared" si="68"/>
        <v>0.7144</v>
      </c>
      <c r="H137" s="31">
        <f t="shared" si="69"/>
        <v>0.0251</v>
      </c>
      <c r="I137" s="31">
        <f t="shared" si="70"/>
        <v>0.7395</v>
      </c>
      <c r="J137" s="31">
        <f>J$12</f>
        <v>-0.141</v>
      </c>
      <c r="K137" s="31">
        <f>K$12</f>
        <v>0.2466</v>
      </c>
      <c r="L137" s="208">
        <f t="shared" si="71"/>
        <v>0.8451</v>
      </c>
      <c r="N137" s="101">
        <v>1.3937</v>
      </c>
      <c r="O137" s="101">
        <v>2.7296</v>
      </c>
      <c r="P137" s="211">
        <f>IF(ROUND((L137*(1-MAX_DISC)+HANDLING_ADJ)/(1-RETIAL_PRFT),2)&lt;=L137,ROUND(L137+0.01,2),ROUND((L137*(1-MAX_DISC)+HANDLING_ADJ)/(1-RETIAL_PRFT),2))</f>
        <v>0.86</v>
      </c>
      <c r="Q137" s="131">
        <v>1.42</v>
      </c>
      <c r="R137" s="146">
        <f t="shared" si="62"/>
        <v>-0.5486</v>
      </c>
      <c r="S137" s="150">
        <f t="shared" si="72"/>
        <v>-0.5599999999999999</v>
      </c>
      <c r="T137" s="156">
        <v>2.74</v>
      </c>
    </row>
    <row r="138" spans="1:19" ht="14.25" thickBot="1" thickTop="1">
      <c r="A138" s="29" t="s">
        <v>77</v>
      </c>
      <c r="B138" s="32"/>
      <c r="D138" s="32"/>
      <c r="E138" s="32"/>
      <c r="N138" s="98"/>
      <c r="O138" s="98"/>
      <c r="P138" s="98"/>
      <c r="Q138" s="134"/>
      <c r="R138" s="146" t="s">
        <v>8</v>
      </c>
      <c r="S138" s="150" t="s">
        <v>8</v>
      </c>
    </row>
    <row r="139" spans="1:20" ht="14.25" thickBot="1" thickTop="1">
      <c r="A139" s="15" t="s">
        <v>67</v>
      </c>
      <c r="B139" s="87">
        <f>'CNTNR COST'!G138</f>
        <v>0.5854</v>
      </c>
      <c r="C139" s="30">
        <f>+C140*2</f>
        <v>1.4002</v>
      </c>
      <c r="D139" s="30">
        <f>+$D$11</f>
        <v>-0.0324</v>
      </c>
      <c r="E139" s="30">
        <f>ROUND($E$12*2,4)</f>
        <v>0</v>
      </c>
      <c r="F139" s="30">
        <f>ROUND($F$12*2,4)</f>
        <v>0.0284</v>
      </c>
      <c r="G139" s="30">
        <f aca="true" t="shared" si="73" ref="G139:G146">ROUND(SUM(B139:F139),4)</f>
        <v>1.9816</v>
      </c>
      <c r="H139" s="30">
        <f aca="true" t="shared" si="74" ref="H139:H146">ROUND((G139/(1-$H$5))-G139,4)</f>
        <v>0.0697</v>
      </c>
      <c r="I139" s="30">
        <f aca="true" t="shared" si="75" ref="I139:I146">ROUND(G139+H139,4)</f>
        <v>2.0513</v>
      </c>
      <c r="J139" s="30">
        <f>ROUND(J$12*2,4)</f>
        <v>-0.282</v>
      </c>
      <c r="K139" s="30">
        <f>ROUND(K$12*2,4)</f>
        <v>0.4932</v>
      </c>
      <c r="L139" s="206">
        <f aca="true" t="shared" si="76" ref="L139:L146">ROUND(SUM(I139:K139),4)</f>
        <v>2.2625</v>
      </c>
      <c r="N139" s="99"/>
      <c r="O139" s="99">
        <v>3.6681</v>
      </c>
      <c r="P139" s="209">
        <f>IF(ROUND((L139*(1-MAX_DISC)+(2*HANDLING_ADJ))/(1-RETIAL_PRFT),2)&lt;=L139,ROUND(L139+0.01,2),ROUND((L139*(1-MAX_DISC)+(2*HANDLING_ADJ))/(1-RETIAL_PRFT),2))</f>
        <v>2.27</v>
      </c>
      <c r="Q139" s="129"/>
      <c r="R139" s="146">
        <f t="shared" si="62"/>
        <v>2.2625</v>
      </c>
      <c r="S139" s="150">
        <f aca="true" t="shared" si="77" ref="S139:S146">P139-Q139</f>
        <v>2.27</v>
      </c>
      <c r="T139" s="155">
        <v>3.68</v>
      </c>
    </row>
    <row r="140" spans="1:20" ht="14.25" thickBot="1" thickTop="1">
      <c r="A140" s="15" t="s">
        <v>12</v>
      </c>
      <c r="B140" s="88">
        <f>'CNTNR COST'!G139</f>
        <v>0.2927</v>
      </c>
      <c r="C140" s="23">
        <f>SC_ADDON</f>
        <v>0.7001</v>
      </c>
      <c r="D140" s="23">
        <f>+$D$12</f>
        <v>0.0264</v>
      </c>
      <c r="E140" s="23">
        <f>ROUND(ENERGY_ADDON,4)</f>
        <v>0</v>
      </c>
      <c r="F140" s="23">
        <f>ROUND(COST_UPDATE_ADJ,4)</f>
        <v>0.0142</v>
      </c>
      <c r="G140" s="23">
        <f t="shared" si="73"/>
        <v>1.0334</v>
      </c>
      <c r="H140" s="23">
        <f t="shared" si="74"/>
        <v>0.0364</v>
      </c>
      <c r="I140" s="23">
        <f t="shared" si="75"/>
        <v>1.0698</v>
      </c>
      <c r="J140" s="23">
        <f>$J$12</f>
        <v>-0.141</v>
      </c>
      <c r="K140" s="23">
        <f>$K$12</f>
        <v>0.2466</v>
      </c>
      <c r="L140" s="207">
        <f t="shared" si="76"/>
        <v>1.1754</v>
      </c>
      <c r="N140" s="100">
        <v>1.4869</v>
      </c>
      <c r="O140" s="100">
        <v>1.8383</v>
      </c>
      <c r="P140" s="210">
        <f>IF(ROUND((L140*(1-MAX_DISC)+HANDLING_ADJ)/(1-RETIAL_PRFT),2)&lt;=L140,ROUND(L140+0.01,2),ROUND((L140*(1-MAX_DISC)++HANDLING_ADJ)/(1-RETIAL_PRFT),2))</f>
        <v>1.19</v>
      </c>
      <c r="Q140" s="130">
        <v>1.52</v>
      </c>
      <c r="R140" s="146">
        <f t="shared" si="62"/>
        <v>-0.3115000000000001</v>
      </c>
      <c r="S140" s="150">
        <f t="shared" si="77"/>
        <v>-0.33000000000000007</v>
      </c>
      <c r="T140" s="155">
        <v>1.85</v>
      </c>
    </row>
    <row r="141" spans="1:20" ht="14.25" thickBot="1" thickTop="1">
      <c r="A141" s="15" t="s">
        <v>13</v>
      </c>
      <c r="B141" s="88">
        <f>'CNTNR COST'!G140</f>
        <v>0.1464</v>
      </c>
      <c r="C141" s="23">
        <f>ROUND(C140/2,4)</f>
        <v>0.3501</v>
      </c>
      <c r="D141" s="23">
        <f>+$D$13</f>
        <v>0.0249</v>
      </c>
      <c r="E141" s="23">
        <f>ROUND($E$12/2,4)</f>
        <v>0</v>
      </c>
      <c r="F141" s="23">
        <f>ROUND($F$12/2,4)</f>
        <v>0.0071</v>
      </c>
      <c r="G141" s="23">
        <f t="shared" si="73"/>
        <v>0.5285</v>
      </c>
      <c r="H141" s="23">
        <f t="shared" si="74"/>
        <v>0.0186</v>
      </c>
      <c r="I141" s="23">
        <f t="shared" si="75"/>
        <v>0.5471</v>
      </c>
      <c r="J141" s="23">
        <f>ROUND(J$12/2,4)</f>
        <v>-0.0705</v>
      </c>
      <c r="K141" s="23">
        <f>ROUND(K$12/2,4)</f>
        <v>0.1233</v>
      </c>
      <c r="L141" s="207">
        <f t="shared" si="76"/>
        <v>0.5999</v>
      </c>
      <c r="N141" s="100">
        <v>0.7435</v>
      </c>
      <c r="O141" s="100">
        <v>0.9295</v>
      </c>
      <c r="P141" s="210">
        <f>IF(ROUND((L141*(1-MAX_DISC)+(HANDLING_ADJ/2))/(1-RETIAL_PRFT),2)&lt;=L141,ROUND(L141+0.01,2),ROUND((L141*(1-MAX_DISC)+(HANDLING_ADJ/2))/(1-RETIAL_PRFT),2))</f>
        <v>0.61</v>
      </c>
      <c r="Q141" s="130">
        <v>0.75</v>
      </c>
      <c r="R141" s="146">
        <f t="shared" si="62"/>
        <v>-0.14360000000000006</v>
      </c>
      <c r="S141" s="150">
        <f t="shared" si="77"/>
        <v>-0.14</v>
      </c>
      <c r="T141" s="155">
        <v>0.94</v>
      </c>
    </row>
    <row r="142" spans="1:20" ht="14.25" thickBot="1" thickTop="1">
      <c r="A142" s="15" t="s">
        <v>189</v>
      </c>
      <c r="B142" s="88">
        <f>'CNTNR COST'!G141</f>
        <v>0.1098</v>
      </c>
      <c r="C142" s="23">
        <f>ROUND(C140/32*12,4)</f>
        <v>0.2625</v>
      </c>
      <c r="D142" s="23">
        <f>+$D$14</f>
        <v>0.0194</v>
      </c>
      <c r="E142" s="23">
        <f>ROUND($E$12/32*12,4)</f>
        <v>0</v>
      </c>
      <c r="F142" s="23">
        <f>ROUND($F$12/32*12,4)</f>
        <v>0.0053</v>
      </c>
      <c r="G142" s="23">
        <f t="shared" si="73"/>
        <v>0.397</v>
      </c>
      <c r="H142" s="23">
        <f t="shared" si="74"/>
        <v>0.014</v>
      </c>
      <c r="I142" s="23">
        <f t="shared" si="75"/>
        <v>0.411</v>
      </c>
      <c r="J142" s="23">
        <f>ROUND(J140/32*12,4)</f>
        <v>-0.0529</v>
      </c>
      <c r="K142" s="23">
        <f>ROUND(K140/32*12,4)</f>
        <v>0.0925</v>
      </c>
      <c r="L142" s="207">
        <f>ROUND(SUM(I142:K142),4)</f>
        <v>0.4506</v>
      </c>
      <c r="N142" s="100"/>
      <c r="O142" s="100"/>
      <c r="P142" s="210">
        <f>IF(ROUND((L142*(1-MAX_DISC)+(HANDLING_ADJ*0.375))/(1-RETIAL_PRFT),2)&lt;=L142,ROUND(L142+0.01,2),ROUND((L142*(1-MAX_DISC)+(HANDLING_ADJ*0.375))/(1-RETIAL_PRFT),2))</f>
        <v>0.46</v>
      </c>
      <c r="Q142" s="130"/>
      <c r="T142" s="155"/>
    </row>
    <row r="143" spans="1:20" ht="14.25" thickBot="1" thickTop="1">
      <c r="A143" s="15" t="s">
        <v>68</v>
      </c>
      <c r="B143" s="88">
        <f>'CNTNR COST'!G142</f>
        <v>0.0915</v>
      </c>
      <c r="C143" s="23">
        <f>ROUND(C140/32*10,4)</f>
        <v>0.2188</v>
      </c>
      <c r="D143" s="23">
        <f>+$D$15</f>
        <v>0.0139</v>
      </c>
      <c r="E143" s="23">
        <f>ROUND($E$12/32*10,4)</f>
        <v>0</v>
      </c>
      <c r="F143" s="23">
        <f>ROUND($F$12/32*10,4)</f>
        <v>0.0044</v>
      </c>
      <c r="G143" s="23">
        <f t="shared" si="73"/>
        <v>0.3286</v>
      </c>
      <c r="H143" s="23">
        <f t="shared" si="74"/>
        <v>0.0116</v>
      </c>
      <c r="I143" s="23">
        <f t="shared" si="75"/>
        <v>0.3402</v>
      </c>
      <c r="J143" s="23">
        <f>ROUND(J140/32*10,4)</f>
        <v>-0.0441</v>
      </c>
      <c r="K143" s="23">
        <f>ROUND(K140/32*10,4)</f>
        <v>0.0771</v>
      </c>
      <c r="L143" s="207">
        <f t="shared" si="76"/>
        <v>0.3732</v>
      </c>
      <c r="N143" s="100">
        <v>0.4942</v>
      </c>
      <c r="O143" s="100">
        <v>0.5848</v>
      </c>
      <c r="P143" s="210">
        <f>IF(ROUND((L143*(1-MAX_DISC)+(HANDLING_ADJ*0.3125))/(1-RETIAL_PRFT),2)&lt;=L143,ROUND(L143+0.01,2),ROUND((L143*(1-MAX_DISC)+(HANDLING_ADJ*0.3125))/(1-RETIAL_PRFT),2))</f>
        <v>0.38</v>
      </c>
      <c r="Q143" s="130">
        <v>0.5</v>
      </c>
      <c r="R143" s="146">
        <f t="shared" si="62"/>
        <v>-0.121</v>
      </c>
      <c r="S143" s="150">
        <f t="shared" si="77"/>
        <v>-0.12</v>
      </c>
      <c r="T143" s="155">
        <v>0.59</v>
      </c>
    </row>
    <row r="144" spans="1:20" ht="14.25" thickBot="1" thickTop="1">
      <c r="A144" s="15" t="s">
        <v>69</v>
      </c>
      <c r="B144" s="88">
        <f>'CNTNR COST'!G143</f>
        <v>0.0732</v>
      </c>
      <c r="C144" s="23">
        <f>ROUND(C140/4,4)</f>
        <v>0.175</v>
      </c>
      <c r="D144" s="23">
        <f>+$D$16</f>
        <v>0.0139</v>
      </c>
      <c r="E144" s="23">
        <f>ROUND($E$12/4,4)</f>
        <v>0</v>
      </c>
      <c r="F144" s="23">
        <f>ROUND($F$12/4,4)</f>
        <v>0.0036</v>
      </c>
      <c r="G144" s="23">
        <f t="shared" si="73"/>
        <v>0.2657</v>
      </c>
      <c r="H144" s="23">
        <f t="shared" si="74"/>
        <v>0.0094</v>
      </c>
      <c r="I144" s="23">
        <f t="shared" si="75"/>
        <v>0.2751</v>
      </c>
      <c r="J144" s="23">
        <f>ROUND(J$12/4,4)</f>
        <v>-0.0353</v>
      </c>
      <c r="K144" s="23">
        <f>ROUND(K$12/4,4)</f>
        <v>0.0617</v>
      </c>
      <c r="L144" s="207">
        <f t="shared" si="76"/>
        <v>0.3015</v>
      </c>
      <c r="N144" s="100">
        <v>0.4086</v>
      </c>
      <c r="O144" s="100">
        <v>0.471</v>
      </c>
      <c r="P144" s="210">
        <f>IF(ROUND((L144*(1-MAX_DISC)+(HANDLING_ADJ/4))/(1-RETIAL_PRFT),2)&lt;=L144,ROUND(L144+0.01,2),ROUND((L144*(1-MAX_DISC)+(HANDLING_ADJ/4))/(1-RETIAL_PRFT),2))</f>
        <v>0.31</v>
      </c>
      <c r="Q144" s="130">
        <v>0.42</v>
      </c>
      <c r="R144" s="146">
        <f t="shared" si="62"/>
        <v>-0.10710000000000003</v>
      </c>
      <c r="S144" s="150">
        <f t="shared" si="77"/>
        <v>-0.10999999999999999</v>
      </c>
      <c r="T144" s="155">
        <v>0.48</v>
      </c>
    </row>
    <row r="145" spans="1:20" ht="14.25" thickBot="1" thickTop="1">
      <c r="A145" s="15" t="s">
        <v>70</v>
      </c>
      <c r="B145" s="88">
        <f>'CNTNR COST'!G144</f>
        <v>0.0366</v>
      </c>
      <c r="C145" s="23">
        <f>ROUND(C140/8,4)</f>
        <v>0.0875</v>
      </c>
      <c r="D145" s="23">
        <f>+$D$17</f>
        <v>0.02</v>
      </c>
      <c r="E145" s="23">
        <f>ROUND($E$12/8,4)</f>
        <v>0</v>
      </c>
      <c r="F145" s="23">
        <f>ROUND($F$12/8,4)</f>
        <v>0.0018</v>
      </c>
      <c r="G145" s="23">
        <f t="shared" si="73"/>
        <v>0.1459</v>
      </c>
      <c r="H145" s="23">
        <f t="shared" si="74"/>
        <v>0.0051</v>
      </c>
      <c r="I145" s="23">
        <f t="shared" si="75"/>
        <v>0.151</v>
      </c>
      <c r="J145" s="23">
        <f>ROUND(J$12/8,4)</f>
        <v>-0.0176</v>
      </c>
      <c r="K145" s="23">
        <f>ROUND(K$12/8,4)</f>
        <v>0.0308</v>
      </c>
      <c r="L145" s="207">
        <f t="shared" si="76"/>
        <v>0.1642</v>
      </c>
      <c r="N145" s="100"/>
      <c r="O145" s="100">
        <v>0.2412</v>
      </c>
      <c r="P145" s="210">
        <f>IF(ROUND((L145*(1-MAX_DISC)+(HANDLING_ADJ/8))/(1-RETIAL_PRFT),2)&lt;=L145,ROUND(L145+0.01,2),ROUND((L145*(1-MAX_DISC)+(HANDLING_ADJ/8))/(1-RETIAL_PRFT),2))</f>
        <v>0.17</v>
      </c>
      <c r="Q145" s="130"/>
      <c r="R145" s="146">
        <f t="shared" si="62"/>
        <v>0.1642</v>
      </c>
      <c r="S145" s="150">
        <f t="shared" si="77"/>
        <v>0.17</v>
      </c>
      <c r="T145" s="155">
        <v>0.25</v>
      </c>
    </row>
    <row r="146" spans="1:20" ht="14.25" thickBot="1" thickTop="1">
      <c r="A146" s="15" t="s">
        <v>98</v>
      </c>
      <c r="B146" s="89">
        <f>'CNTNR COST'!G145</f>
        <v>0.2927</v>
      </c>
      <c r="C146" s="31">
        <f>C140</f>
        <v>0.7001</v>
      </c>
      <c r="D146" s="31">
        <f>+$D$18</f>
        <v>0.1078</v>
      </c>
      <c r="E146" s="31">
        <f>ROUND($E$12,4)</f>
        <v>0</v>
      </c>
      <c r="F146" s="31">
        <f>ROUND($F$12,4)</f>
        <v>0.0142</v>
      </c>
      <c r="G146" s="31">
        <f t="shared" si="73"/>
        <v>1.1148</v>
      </c>
      <c r="H146" s="31">
        <f t="shared" si="74"/>
        <v>0.0392</v>
      </c>
      <c r="I146" s="31">
        <f t="shared" si="75"/>
        <v>1.154</v>
      </c>
      <c r="J146" s="31">
        <f>J$12</f>
        <v>-0.141</v>
      </c>
      <c r="K146" s="31">
        <f>K$12</f>
        <v>0.2466</v>
      </c>
      <c r="L146" s="208">
        <f t="shared" si="76"/>
        <v>1.2596</v>
      </c>
      <c r="N146" s="101">
        <v>1.4989</v>
      </c>
      <c r="O146" s="101">
        <v>1.8771</v>
      </c>
      <c r="P146" s="211">
        <f>IF(ROUND((L146*(1-MAX_DISC)+HANDLING_ADJ)/(1-RETIAL_PRFT),2)&lt;=L146,ROUND(L146+0.01,2),ROUND((L146*(1-MAX_DISC)+HANDLING_ADJ)/(1-RETIAL_PRFT),2))</f>
        <v>1.27</v>
      </c>
      <c r="Q146" s="131">
        <v>1.52</v>
      </c>
      <c r="R146" s="146">
        <f t="shared" si="62"/>
        <v>-0.23929999999999985</v>
      </c>
      <c r="S146" s="150">
        <f t="shared" si="77"/>
        <v>-0.25</v>
      </c>
      <c r="T146" s="156">
        <v>1.89</v>
      </c>
    </row>
    <row r="147" spans="2:15" ht="13.5" thickTop="1">
      <c r="B147" s="32"/>
      <c r="N147" s="98"/>
      <c r="O147" s="98"/>
    </row>
    <row r="148" spans="2:15" ht="12.75">
      <c r="B148" s="32"/>
      <c r="N148" s="133"/>
      <c r="O148" s="98"/>
    </row>
    <row r="149" spans="2:15" ht="12.75">
      <c r="B149" s="32"/>
      <c r="N149" s="133"/>
      <c r="O149" s="98"/>
    </row>
    <row r="150" spans="2:15" ht="12.75">
      <c r="B150" s="32"/>
      <c r="N150" s="133"/>
      <c r="O150" s="98"/>
    </row>
    <row r="151" spans="2:15" ht="12.75">
      <c r="B151" s="32"/>
      <c r="N151" s="133"/>
      <c r="O151" s="98"/>
    </row>
    <row r="152" spans="2:15" ht="12.75">
      <c r="B152" s="32"/>
      <c r="N152" s="133"/>
      <c r="O152" s="98"/>
    </row>
    <row r="153" spans="2:16" ht="12.75">
      <c r="B153" s="32"/>
      <c r="N153" s="133"/>
      <c r="O153" s="98"/>
      <c r="P153" s="85"/>
    </row>
    <row r="154" spans="2:16" ht="12.75">
      <c r="B154" s="32"/>
      <c r="N154" s="133"/>
      <c r="O154" s="133"/>
      <c r="P154" s="85"/>
    </row>
    <row r="155" spans="2:15" ht="12.75">
      <c r="B155" s="32"/>
      <c r="N155" s="133"/>
      <c r="O155" s="133"/>
    </row>
    <row r="156" spans="2:15" ht="12.75">
      <c r="B156" s="32"/>
      <c r="N156" s="133"/>
      <c r="O156" s="133"/>
    </row>
    <row r="157" spans="2:15" ht="12.75">
      <c r="B157" s="32"/>
      <c r="N157" s="133"/>
      <c r="O157" s="133"/>
    </row>
    <row r="158" spans="2:15" ht="12.75">
      <c r="B158" s="32"/>
      <c r="N158" s="133"/>
      <c r="O158" s="133"/>
    </row>
    <row r="159" spans="2:15" ht="12.75">
      <c r="B159" s="32"/>
      <c r="N159" s="133"/>
      <c r="O159" s="133"/>
    </row>
    <row r="160" spans="2:15" ht="12.75">
      <c r="B160" s="32"/>
      <c r="N160" s="133"/>
      <c r="O160" s="133"/>
    </row>
    <row r="161" spans="2:15" ht="12.75">
      <c r="B161" s="32"/>
      <c r="N161" s="133"/>
      <c r="O161" s="133"/>
    </row>
    <row r="162" spans="2:15" ht="12.75">
      <c r="B162" s="32"/>
      <c r="N162" s="133"/>
      <c r="O162" s="133"/>
    </row>
    <row r="163" spans="2:15" ht="12.75">
      <c r="B163" s="32"/>
      <c r="N163" s="133"/>
      <c r="O163" s="133"/>
    </row>
    <row r="164" spans="2:15" ht="12.75">
      <c r="B164" s="32"/>
      <c r="N164" s="133"/>
      <c r="O164" s="133"/>
    </row>
    <row r="165" spans="2:15" ht="12.75">
      <c r="B165" s="32"/>
      <c r="N165" s="133"/>
      <c r="O165" s="133"/>
    </row>
    <row r="166" spans="2:15" ht="12.75">
      <c r="B166" s="32"/>
      <c r="N166" s="133"/>
      <c r="O166" s="133"/>
    </row>
    <row r="167" spans="2:15" ht="12.75">
      <c r="B167" s="32"/>
      <c r="N167" s="133"/>
      <c r="O167" s="133"/>
    </row>
    <row r="168" spans="2:15" ht="12.75">
      <c r="B168" s="32"/>
      <c r="N168" s="133"/>
      <c r="O168" s="133"/>
    </row>
    <row r="169" spans="2:15" ht="12.75">
      <c r="B169" s="32"/>
      <c r="N169" s="133"/>
      <c r="O169" s="133"/>
    </row>
    <row r="170" spans="2:15" ht="12.75">
      <c r="B170" s="32"/>
      <c r="N170" s="133"/>
      <c r="O170" s="133"/>
    </row>
    <row r="171" spans="2:15" ht="12.75">
      <c r="B171" s="32"/>
      <c r="N171" s="133"/>
      <c r="O171" s="133"/>
    </row>
    <row r="172" spans="2:15" ht="12.75">
      <c r="B172" s="32"/>
      <c r="N172" s="133"/>
      <c r="O172" s="133"/>
    </row>
    <row r="173" spans="2:15" ht="12.75">
      <c r="B173" s="32"/>
      <c r="N173" s="133"/>
      <c r="O173" s="133"/>
    </row>
    <row r="174" spans="2:15" ht="12.75">
      <c r="B174" s="32"/>
      <c r="N174" s="133"/>
      <c r="O174" s="133"/>
    </row>
    <row r="175" spans="2:15" ht="12.75">
      <c r="B175" s="32"/>
      <c r="N175" s="133"/>
      <c r="O175" s="133"/>
    </row>
    <row r="176" spans="2:15" ht="12.75">
      <c r="B176" s="32"/>
      <c r="N176" s="133"/>
      <c r="O176" s="133"/>
    </row>
    <row r="177" spans="2:15" ht="12.75">
      <c r="B177" s="32"/>
      <c r="N177" s="133"/>
      <c r="O177" s="133"/>
    </row>
    <row r="178" spans="2:15" ht="12.75">
      <c r="B178" s="32"/>
      <c r="N178" s="133"/>
      <c r="O178" s="133"/>
    </row>
    <row r="179" spans="2:15" ht="12.75">
      <c r="B179" s="32"/>
      <c r="N179" s="133"/>
      <c r="O179" s="133"/>
    </row>
    <row r="180" spans="2:15" ht="12.75">
      <c r="B180" s="32"/>
      <c r="N180" s="133"/>
      <c r="O180" s="133"/>
    </row>
    <row r="181" spans="2:15" ht="12.75">
      <c r="B181" s="32"/>
      <c r="N181" s="133"/>
      <c r="O181" s="133"/>
    </row>
    <row r="182" spans="2:15" ht="12.75">
      <c r="B182" s="32"/>
      <c r="N182" s="133"/>
      <c r="O182" s="133"/>
    </row>
    <row r="183" spans="2:15" ht="12.75">
      <c r="B183" s="32"/>
      <c r="N183" s="133"/>
      <c r="O183" s="133"/>
    </row>
    <row r="184" spans="2:15" ht="12.75">
      <c r="B184" s="32"/>
      <c r="N184" s="133"/>
      <c r="O184" s="133"/>
    </row>
    <row r="185" spans="2:15" ht="12.75">
      <c r="B185" s="32"/>
      <c r="N185" s="133"/>
      <c r="O185" s="133"/>
    </row>
    <row r="186" spans="2:15" ht="12.75">
      <c r="B186" s="32"/>
      <c r="N186" s="133"/>
      <c r="O186" s="133"/>
    </row>
    <row r="187" spans="2:15" ht="12.75">
      <c r="B187" s="32"/>
      <c r="N187" s="133"/>
      <c r="O187" s="133"/>
    </row>
    <row r="188" spans="2:15" ht="12.75">
      <c r="B188" s="32"/>
      <c r="N188" s="133"/>
      <c r="O188" s="133"/>
    </row>
    <row r="189" spans="2:15" ht="12.75">
      <c r="B189" s="32"/>
      <c r="N189" s="133"/>
      <c r="O189" s="133"/>
    </row>
    <row r="190" spans="2:15" ht="12.75">
      <c r="B190" s="32"/>
      <c r="N190" s="133"/>
      <c r="O190" s="133"/>
    </row>
    <row r="191" spans="2:15" ht="12.75">
      <c r="B191" s="32"/>
      <c r="N191" s="133"/>
      <c r="O191" s="133"/>
    </row>
    <row r="192" spans="2:15" ht="12.75">
      <c r="B192" s="32"/>
      <c r="N192" s="133"/>
      <c r="O192" s="133"/>
    </row>
    <row r="193" spans="2:15" ht="12.75">
      <c r="B193" s="32"/>
      <c r="N193" s="133"/>
      <c r="O193" s="133"/>
    </row>
    <row r="194" spans="2:15" ht="12.75">
      <c r="B194" s="32"/>
      <c r="N194" s="133"/>
      <c r="O194" s="133"/>
    </row>
    <row r="195" ht="12.75">
      <c r="B195" s="32"/>
    </row>
    <row r="196" ht="12.75">
      <c r="B196" s="32"/>
    </row>
    <row r="197" ht="12.75">
      <c r="B197" s="32"/>
    </row>
    <row r="198" ht="12.75">
      <c r="B198" s="32"/>
    </row>
    <row r="199" ht="12.75">
      <c r="B199" s="32"/>
    </row>
    <row r="200" ht="12.75">
      <c r="B200" s="32"/>
    </row>
    <row r="201" ht="12.75">
      <c r="B201" s="32"/>
    </row>
    <row r="202" ht="12.75">
      <c r="B202" s="32"/>
    </row>
    <row r="203" ht="12.75">
      <c r="B203" s="32"/>
    </row>
    <row r="204" ht="12.75">
      <c r="B204" s="32"/>
    </row>
    <row r="205" ht="12.75">
      <c r="B205" s="32"/>
    </row>
    <row r="206" ht="12.75">
      <c r="B206" s="32"/>
    </row>
    <row r="207" ht="12.75">
      <c r="B207" s="32"/>
    </row>
    <row r="208" ht="12.75">
      <c r="B208" s="32"/>
    </row>
    <row r="209" ht="12.75">
      <c r="B209" s="32"/>
    </row>
    <row r="210" ht="12.75">
      <c r="B210" s="32"/>
    </row>
    <row r="211" ht="12.75">
      <c r="B211" s="32"/>
    </row>
    <row r="212" ht="12.75">
      <c r="B212" s="32"/>
    </row>
    <row r="213" ht="12.75">
      <c r="B213" s="32"/>
    </row>
    <row r="214" ht="12.75">
      <c r="B214" s="32"/>
    </row>
    <row r="215" ht="12.75">
      <c r="B215" s="32"/>
    </row>
    <row r="216" ht="12.75">
      <c r="B216" s="32"/>
    </row>
    <row r="217" ht="12.75">
      <c r="B217" s="32"/>
    </row>
    <row r="218" ht="12.75">
      <c r="B218" s="32"/>
    </row>
    <row r="219" ht="12.75">
      <c r="B219" s="32"/>
    </row>
    <row r="220" ht="12.75">
      <c r="B220" s="32"/>
    </row>
    <row r="221" ht="12.75">
      <c r="B221" s="32"/>
    </row>
    <row r="222" ht="12.75">
      <c r="B222" s="32"/>
    </row>
    <row r="223" ht="12.75">
      <c r="B223" s="32"/>
    </row>
    <row r="224" ht="12.75">
      <c r="B224" s="32"/>
    </row>
    <row r="225" ht="12.75">
      <c r="B225" s="32"/>
    </row>
    <row r="226" ht="12.75">
      <c r="B226" s="32"/>
    </row>
    <row r="227" ht="12.75">
      <c r="B227" s="32"/>
    </row>
    <row r="228" ht="12.75">
      <c r="B228" s="32"/>
    </row>
    <row r="229" ht="12.75">
      <c r="B229" s="32"/>
    </row>
    <row r="230" ht="12.75">
      <c r="B230" s="32"/>
    </row>
    <row r="231" ht="12.75">
      <c r="B231" s="32"/>
    </row>
    <row r="232" ht="12.75">
      <c r="B232" s="32"/>
    </row>
    <row r="233" ht="12.75">
      <c r="B233" s="32"/>
    </row>
    <row r="234" ht="12.75">
      <c r="B234" s="32"/>
    </row>
    <row r="235" ht="12.75">
      <c r="B235" s="32"/>
    </row>
    <row r="236" ht="12.75">
      <c r="B236" s="32"/>
    </row>
    <row r="237" ht="12.75">
      <c r="B237" s="32"/>
    </row>
    <row r="238" ht="12.75">
      <c r="B238" s="32"/>
    </row>
    <row r="239" ht="12.75">
      <c r="B239" s="32"/>
    </row>
    <row r="240" ht="12.75">
      <c r="B240" s="32"/>
    </row>
    <row r="241" ht="12.75">
      <c r="B241" s="32"/>
    </row>
    <row r="242" ht="12.75">
      <c r="B242" s="32"/>
    </row>
    <row r="243" ht="12.75">
      <c r="B243" s="32"/>
    </row>
    <row r="244" ht="12.75">
      <c r="B244" s="32"/>
    </row>
    <row r="245" ht="12.75">
      <c r="B245" s="32"/>
    </row>
    <row r="246" ht="12.75">
      <c r="B246" s="32"/>
    </row>
    <row r="247" ht="12.75">
      <c r="B247" s="32"/>
    </row>
    <row r="248" ht="12.75">
      <c r="B248" s="32"/>
    </row>
    <row r="249" ht="12.75">
      <c r="B249" s="32"/>
    </row>
    <row r="250" ht="12.75">
      <c r="B250" s="32"/>
    </row>
    <row r="251" ht="12.75">
      <c r="B251" s="32"/>
    </row>
    <row r="252" ht="12.75">
      <c r="B252" s="32"/>
    </row>
    <row r="253" ht="12.75">
      <c r="B253" s="32"/>
    </row>
    <row r="254" ht="12.75">
      <c r="B254" s="32"/>
    </row>
    <row r="255" ht="12.75">
      <c r="B255" s="32"/>
    </row>
    <row r="256" ht="12.75">
      <c r="B256" s="32"/>
    </row>
    <row r="257" ht="12.75">
      <c r="B257" s="32"/>
    </row>
    <row r="258" ht="12.75">
      <c r="B258" s="32"/>
    </row>
    <row r="259" ht="12.75">
      <c r="B259" s="32"/>
    </row>
    <row r="260" ht="12.75">
      <c r="B260" s="32"/>
    </row>
    <row r="261" ht="12.75">
      <c r="B261" s="32"/>
    </row>
    <row r="262" ht="12.75">
      <c r="B262" s="32"/>
    </row>
    <row r="263" ht="12.75">
      <c r="B263" s="32"/>
    </row>
    <row r="264" ht="12.75">
      <c r="B264" s="32"/>
    </row>
    <row r="265" ht="12.75">
      <c r="B265" s="32"/>
    </row>
    <row r="266" ht="12.75">
      <c r="B266" s="32"/>
    </row>
    <row r="267" ht="12.75">
      <c r="B267" s="32"/>
    </row>
    <row r="268" ht="12.75">
      <c r="B268" s="32"/>
    </row>
    <row r="269" ht="12.75">
      <c r="B269" s="32"/>
    </row>
    <row r="270" ht="12.75">
      <c r="B270" s="32"/>
    </row>
    <row r="271" ht="12.75">
      <c r="B271" s="32"/>
    </row>
    <row r="272" ht="12.75">
      <c r="B272" s="32"/>
    </row>
    <row r="273" ht="12.75">
      <c r="B273" s="32"/>
    </row>
    <row r="274" ht="12.75">
      <c r="B274" s="32"/>
    </row>
    <row r="275" ht="12.75">
      <c r="B275" s="32"/>
    </row>
    <row r="276" ht="12.75">
      <c r="B276" s="32"/>
    </row>
    <row r="277" ht="12.75">
      <c r="B277" s="32"/>
    </row>
    <row r="278" ht="12.75">
      <c r="B278" s="32"/>
    </row>
    <row r="279" ht="12.75">
      <c r="B279" s="32"/>
    </row>
    <row r="280" ht="12.75">
      <c r="B280" s="32"/>
    </row>
    <row r="281" ht="12.75">
      <c r="B281" s="32"/>
    </row>
    <row r="282" ht="12.75">
      <c r="B282" s="32"/>
    </row>
    <row r="283" ht="12.75">
      <c r="B283" s="32"/>
    </row>
    <row r="284" ht="12.75">
      <c r="B284" s="32"/>
    </row>
    <row r="285" ht="12.75">
      <c r="B285" s="32"/>
    </row>
    <row r="286" ht="12.75">
      <c r="B286" s="32"/>
    </row>
    <row r="287" ht="12.75">
      <c r="B287" s="32"/>
    </row>
    <row r="288" ht="12.75">
      <c r="B288" s="32"/>
    </row>
    <row r="289" ht="12.75">
      <c r="B289" s="32"/>
    </row>
    <row r="290" ht="12.75">
      <c r="B290" s="32"/>
    </row>
    <row r="291" ht="12.75">
      <c r="B291" s="32"/>
    </row>
    <row r="292" ht="12.75">
      <c r="B292" s="32"/>
    </row>
    <row r="293" ht="12.75">
      <c r="B293" s="32"/>
    </row>
    <row r="294" ht="12.75">
      <c r="B294" s="32"/>
    </row>
    <row r="295" ht="12.75">
      <c r="B295" s="32"/>
    </row>
    <row r="296" ht="12.75">
      <c r="B296" s="32"/>
    </row>
    <row r="297" ht="12.75">
      <c r="B297" s="32"/>
    </row>
    <row r="298" ht="12.75">
      <c r="B298" s="32"/>
    </row>
    <row r="299" ht="12.75">
      <c r="B299" s="32"/>
    </row>
    <row r="300" ht="12.75">
      <c r="B300" s="32"/>
    </row>
    <row r="301" ht="12.75">
      <c r="B301" s="32"/>
    </row>
    <row r="302" ht="12.75">
      <c r="B302" s="32"/>
    </row>
    <row r="303" ht="12.75">
      <c r="B303" s="32"/>
    </row>
    <row r="304" ht="12.75">
      <c r="B304" s="32"/>
    </row>
    <row r="305" ht="12.75">
      <c r="B305" s="32"/>
    </row>
    <row r="306" ht="12.75">
      <c r="B306" s="32"/>
    </row>
    <row r="307" ht="12.75">
      <c r="B307" s="32"/>
    </row>
    <row r="308" ht="12.75">
      <c r="B308" s="32"/>
    </row>
    <row r="309" ht="12.75">
      <c r="B309" s="32"/>
    </row>
    <row r="310" ht="12.75">
      <c r="B310" s="32"/>
    </row>
    <row r="311" ht="12.75">
      <c r="B311" s="32"/>
    </row>
    <row r="312" ht="12.75">
      <c r="B312" s="32"/>
    </row>
    <row r="313" ht="12.75">
      <c r="B313" s="32"/>
    </row>
    <row r="314" ht="12.75">
      <c r="B314" s="32"/>
    </row>
    <row r="315" ht="12.75">
      <c r="B315" s="32"/>
    </row>
    <row r="316" ht="12.75">
      <c r="B316" s="32"/>
    </row>
    <row r="317" ht="12.75">
      <c r="B317" s="32"/>
    </row>
    <row r="318" ht="12.75">
      <c r="B318" s="32"/>
    </row>
    <row r="319" ht="12.75">
      <c r="B319" s="32"/>
    </row>
    <row r="320" ht="12.75">
      <c r="B320" s="32"/>
    </row>
    <row r="321" ht="12.75">
      <c r="B321" s="32"/>
    </row>
    <row r="322" ht="12.75">
      <c r="B322" s="32"/>
    </row>
    <row r="323" ht="12.75">
      <c r="B323" s="32"/>
    </row>
    <row r="324" ht="12.75">
      <c r="B324" s="32"/>
    </row>
    <row r="325" ht="12.75">
      <c r="B325" s="32"/>
    </row>
    <row r="326" ht="12.75">
      <c r="B326" s="32"/>
    </row>
    <row r="327" ht="12.75">
      <c r="B327" s="32"/>
    </row>
    <row r="328" ht="12.75">
      <c r="B328" s="32"/>
    </row>
    <row r="329" ht="12.75">
      <c r="B329" s="32"/>
    </row>
    <row r="330" ht="12.75">
      <c r="B330" s="32"/>
    </row>
    <row r="331" ht="12.75">
      <c r="B331" s="32"/>
    </row>
    <row r="332" ht="12.75">
      <c r="B332" s="32"/>
    </row>
    <row r="333" ht="12.75">
      <c r="B333" s="32"/>
    </row>
    <row r="334" ht="12.75">
      <c r="B334" s="32"/>
    </row>
    <row r="335" ht="12.75">
      <c r="B335" s="32"/>
    </row>
    <row r="336" ht="12.75">
      <c r="B336" s="32"/>
    </row>
    <row r="337" ht="12.75">
      <c r="B337" s="32"/>
    </row>
    <row r="338" ht="12.75">
      <c r="B338" s="32"/>
    </row>
    <row r="339" ht="12.75">
      <c r="B339" s="32"/>
    </row>
    <row r="340" ht="12.75">
      <c r="B340" s="32"/>
    </row>
    <row r="341" ht="12.75">
      <c r="B341" s="32"/>
    </row>
    <row r="342" ht="12.75">
      <c r="B342" s="32"/>
    </row>
    <row r="343" ht="12.75">
      <c r="B343" s="32"/>
    </row>
    <row r="344" ht="12.75">
      <c r="B344" s="32"/>
    </row>
    <row r="345" ht="12.75">
      <c r="B345" s="32"/>
    </row>
    <row r="346" ht="12.75">
      <c r="B346" s="32"/>
    </row>
    <row r="347" ht="12.75">
      <c r="B347" s="32"/>
    </row>
    <row r="348" ht="12.75">
      <c r="B348" s="32"/>
    </row>
    <row r="349" ht="12.75">
      <c r="B349" s="32"/>
    </row>
    <row r="350" ht="12.75">
      <c r="B350" s="32"/>
    </row>
    <row r="351" ht="12.75">
      <c r="B351" s="32"/>
    </row>
    <row r="352" ht="12.75">
      <c r="B352" s="32"/>
    </row>
    <row r="353" ht="12.75">
      <c r="B353" s="32"/>
    </row>
    <row r="354" ht="12.75">
      <c r="B354" s="32"/>
    </row>
    <row r="355" ht="12.75">
      <c r="B355" s="32"/>
    </row>
    <row r="356" ht="12.75">
      <c r="B356" s="32"/>
    </row>
    <row r="357" ht="12.75">
      <c r="B357" s="32"/>
    </row>
    <row r="358" ht="12.75">
      <c r="B358" s="32"/>
    </row>
    <row r="359" ht="12.75">
      <c r="B359" s="32"/>
    </row>
    <row r="360" ht="12.75">
      <c r="B360" s="32"/>
    </row>
    <row r="361" ht="12.75">
      <c r="B361" s="32"/>
    </row>
    <row r="362" ht="12.75">
      <c r="B362" s="32"/>
    </row>
    <row r="363" ht="12.75">
      <c r="B363" s="32"/>
    </row>
    <row r="364" ht="12.75">
      <c r="B364" s="32"/>
    </row>
    <row r="365" ht="12.75">
      <c r="B365" s="32"/>
    </row>
    <row r="366" ht="12.75">
      <c r="B366" s="32"/>
    </row>
    <row r="367" ht="12.75">
      <c r="B367" s="32"/>
    </row>
    <row r="368" ht="12.75">
      <c r="B368" s="32"/>
    </row>
    <row r="369" ht="12.75">
      <c r="B369" s="32"/>
    </row>
    <row r="370" ht="12.75">
      <c r="B370" s="32"/>
    </row>
    <row r="371" ht="12.75">
      <c r="B371" s="32"/>
    </row>
    <row r="372" ht="12.75">
      <c r="B372" s="32"/>
    </row>
    <row r="373" ht="12.75">
      <c r="B373" s="32"/>
    </row>
    <row r="374" ht="12.75">
      <c r="B374" s="32"/>
    </row>
    <row r="375" ht="12.75">
      <c r="B375" s="32"/>
    </row>
    <row r="376" ht="12.75">
      <c r="B376" s="32"/>
    </row>
    <row r="377" ht="12.75">
      <c r="B377" s="32"/>
    </row>
    <row r="378" ht="12.75">
      <c r="B378" s="32"/>
    </row>
    <row r="379" ht="12.75">
      <c r="B379" s="32"/>
    </row>
    <row r="380" ht="12.75">
      <c r="B380" s="32"/>
    </row>
    <row r="381" ht="12.75">
      <c r="B381" s="32"/>
    </row>
    <row r="382" ht="12.75">
      <c r="B382" s="32"/>
    </row>
    <row r="383" ht="12.75">
      <c r="B383" s="32"/>
    </row>
    <row r="384" ht="12.75">
      <c r="B384" s="32"/>
    </row>
    <row r="385" ht="12.75">
      <c r="B385" s="32"/>
    </row>
    <row r="386" ht="12.75">
      <c r="B386" s="32"/>
    </row>
    <row r="387" ht="12.75">
      <c r="B387" s="32"/>
    </row>
    <row r="388" ht="12.75">
      <c r="B388" s="32"/>
    </row>
    <row r="389" ht="12.75">
      <c r="B389" s="32"/>
    </row>
    <row r="390" ht="12.75">
      <c r="B390" s="32"/>
    </row>
    <row r="391" ht="12.75">
      <c r="B391" s="32"/>
    </row>
    <row r="392" ht="12.75">
      <c r="B392" s="32"/>
    </row>
    <row r="393" ht="12.75">
      <c r="B393" s="32"/>
    </row>
    <row r="394" ht="12.75">
      <c r="B394" s="32"/>
    </row>
    <row r="395" ht="12.75">
      <c r="B395" s="32"/>
    </row>
    <row r="396" ht="12.75">
      <c r="B396" s="32"/>
    </row>
    <row r="397" ht="12.75">
      <c r="B397" s="32"/>
    </row>
    <row r="398" ht="12.75">
      <c r="B398" s="32"/>
    </row>
    <row r="399" ht="12.75">
      <c r="B399" s="32"/>
    </row>
    <row r="400" ht="12.75">
      <c r="B400" s="32"/>
    </row>
    <row r="401" ht="12.75">
      <c r="B401" s="32"/>
    </row>
    <row r="402" ht="12.75">
      <c r="B402" s="32"/>
    </row>
    <row r="403" ht="12.75">
      <c r="B403" s="32"/>
    </row>
    <row r="404" ht="12.75">
      <c r="B404" s="32"/>
    </row>
    <row r="405" ht="12.75">
      <c r="B405" s="32"/>
    </row>
    <row r="406" ht="12.75">
      <c r="B406" s="32"/>
    </row>
    <row r="407" ht="12.75">
      <c r="B407" s="32"/>
    </row>
    <row r="408" ht="12.75">
      <c r="B408" s="32"/>
    </row>
    <row r="409" ht="12.75">
      <c r="B409" s="32"/>
    </row>
    <row r="410" ht="12.75">
      <c r="B410" s="32"/>
    </row>
    <row r="411" ht="12.75">
      <c r="B411" s="32"/>
    </row>
    <row r="412" ht="12.75">
      <c r="B412" s="32"/>
    </row>
    <row r="413" ht="12.75">
      <c r="B413" s="32"/>
    </row>
    <row r="414" ht="12.75">
      <c r="B414" s="32"/>
    </row>
    <row r="415" ht="12.75">
      <c r="B415" s="32"/>
    </row>
    <row r="416" ht="12.75">
      <c r="B416" s="32"/>
    </row>
    <row r="417" ht="12.75">
      <c r="B417" s="32"/>
    </row>
    <row r="418" ht="12.75">
      <c r="B418" s="32"/>
    </row>
    <row r="419" ht="12.75">
      <c r="B419" s="32"/>
    </row>
    <row r="420" ht="12.75">
      <c r="B420" s="32"/>
    </row>
    <row r="421" ht="12.75">
      <c r="B421" s="32"/>
    </row>
    <row r="422" ht="12.75">
      <c r="B422" s="32"/>
    </row>
    <row r="423" ht="12.75">
      <c r="B423" s="32"/>
    </row>
    <row r="424" ht="12.75">
      <c r="B424" s="32"/>
    </row>
    <row r="425" ht="12.75">
      <c r="B425" s="32"/>
    </row>
    <row r="426" ht="12.75">
      <c r="B426" s="32"/>
    </row>
    <row r="427" ht="12.75">
      <c r="B427" s="32"/>
    </row>
    <row r="428" ht="12.75">
      <c r="B428" s="32"/>
    </row>
    <row r="429" ht="12.75">
      <c r="B429" s="32"/>
    </row>
    <row r="430" ht="12.75">
      <c r="B430" s="32"/>
    </row>
    <row r="431" ht="12.75">
      <c r="B431" s="32"/>
    </row>
  </sheetData>
  <sheetProtection/>
  <printOptions/>
  <pageMargins left="0.25" right="0.25" top="0.25" bottom="0.25" header="0.5" footer="0.5"/>
  <pageSetup fitToHeight="3" fitToWidth="1" horizontalDpi="300" verticalDpi="300" orientation="landscape" paperSize="5" scale="85" r:id="rId1"/>
  <rowBreaks count="2" manualBreakCount="2">
    <brk id="44" max="65535" man="1"/>
    <brk id="8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76"/>
  <sheetViews>
    <sheetView zoomScale="75" zoomScaleNormal="75" zoomScalePageLayoutView="0" workbookViewId="0" topLeftCell="A1">
      <selection activeCell="M39" sqref="M39"/>
    </sheetView>
  </sheetViews>
  <sheetFormatPr defaultColWidth="9.140625" defaultRowHeight="12.75"/>
  <cols>
    <col min="1" max="1" width="38.421875" style="0" customWidth="1"/>
    <col min="2" max="2" width="13.140625" style="0" customWidth="1"/>
    <col min="3" max="4" width="9.28125" style="0" bestFit="1" customWidth="1"/>
    <col min="5" max="5" width="12.00390625" style="0" customWidth="1"/>
    <col min="6" max="6" width="9.57421875" style="0" bestFit="1" customWidth="1"/>
    <col min="7" max="7" width="9.28125" style="0" bestFit="1" customWidth="1"/>
    <col min="8" max="9" width="9.57421875" style="0" bestFit="1" customWidth="1"/>
    <col min="10" max="10" width="9.57421875" style="0" customWidth="1"/>
    <col min="11" max="12" width="9.57421875" style="0" bestFit="1" customWidth="1"/>
    <col min="13" max="13" width="10.00390625" style="0" customWidth="1"/>
  </cols>
  <sheetData>
    <row r="1" spans="1:13" ht="34.5">
      <c r="A1" s="36" t="s">
        <v>100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.75" thickBot="1">
      <c r="A2" s="37" t="s">
        <v>43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.75" thickBot="1">
      <c r="A3" s="37" t="s">
        <v>164</v>
      </c>
      <c r="B3" s="26"/>
      <c r="C3" s="26"/>
      <c r="D3" s="26"/>
      <c r="E3" s="26"/>
      <c r="F3" s="26"/>
      <c r="G3" s="26"/>
      <c r="H3" s="26"/>
      <c r="I3" s="191"/>
      <c r="J3" s="191"/>
      <c r="K3" s="192"/>
      <c r="L3" s="193" t="s">
        <v>158</v>
      </c>
      <c r="M3" s="193" t="s">
        <v>159</v>
      </c>
    </row>
    <row r="4" spans="1:13" ht="18.75" thickBot="1">
      <c r="A4" s="37" t="s">
        <v>165</v>
      </c>
      <c r="B4" s="26"/>
      <c r="C4" s="26"/>
      <c r="D4" s="26"/>
      <c r="E4" s="26"/>
      <c r="F4" s="26"/>
      <c r="G4" s="26"/>
      <c r="H4" s="26"/>
      <c r="I4" s="198" t="s">
        <v>160</v>
      </c>
      <c r="J4" s="226"/>
      <c r="K4" s="199"/>
      <c r="L4" s="194">
        <f>Class_1_Skim_Rate</f>
        <v>0</v>
      </c>
      <c r="M4" s="195">
        <f>Class_2_Skim_Rate</f>
        <v>0</v>
      </c>
    </row>
    <row r="5" spans="1:13" ht="18.75" thickBot="1">
      <c r="A5" s="37" t="s">
        <v>166</v>
      </c>
      <c r="B5" s="26"/>
      <c r="C5" s="26"/>
      <c r="D5" s="26"/>
      <c r="E5" s="26"/>
      <c r="F5" s="26"/>
      <c r="G5" s="26"/>
      <c r="H5" s="26"/>
      <c r="I5" s="198" t="s">
        <v>161</v>
      </c>
      <c r="J5" s="226"/>
      <c r="K5" s="199"/>
      <c r="L5" s="196">
        <f>Class_1_BF_Rate</f>
        <v>0</v>
      </c>
      <c r="M5" s="197">
        <f>Class_2_BF_Rate</f>
        <v>0</v>
      </c>
    </row>
    <row r="6" spans="1:13" ht="33.75" thickBot="1">
      <c r="A6" s="169">
        <f>INPUT!B3</f>
        <v>0</v>
      </c>
      <c r="B6" s="33"/>
      <c r="C6" s="33"/>
      <c r="D6" s="189"/>
      <c r="E6" s="189"/>
      <c r="F6" s="33"/>
      <c r="G6" s="168"/>
      <c r="H6" s="33"/>
      <c r="I6" s="300" t="str">
        <f>INPUT!A2</f>
        <v>OGO A-956 (CRO-5)</v>
      </c>
      <c r="J6" s="300"/>
      <c r="K6" s="300"/>
      <c r="L6" s="300"/>
      <c r="M6" s="300"/>
    </row>
    <row r="7" spans="1:13" ht="16.5" thickBot="1" thickTop="1">
      <c r="A7" s="38"/>
      <c r="B7" s="38"/>
      <c r="C7" s="39" t="s">
        <v>101</v>
      </c>
      <c r="D7" s="40"/>
      <c r="E7" s="41" t="s">
        <v>102</v>
      </c>
      <c r="F7" s="42" t="s">
        <v>103</v>
      </c>
      <c r="G7" s="43"/>
      <c r="H7" s="43"/>
      <c r="I7" s="43"/>
      <c r="J7" s="43"/>
      <c r="K7" s="43"/>
      <c r="L7" s="43"/>
      <c r="M7" s="44"/>
    </row>
    <row r="8" spans="1:13" ht="16.5" thickBot="1" thickTop="1">
      <c r="A8" s="45"/>
      <c r="B8" s="45" t="s">
        <v>104</v>
      </c>
      <c r="C8" s="46" t="s">
        <v>105</v>
      </c>
      <c r="D8" s="47"/>
      <c r="E8" s="48" t="s">
        <v>106</v>
      </c>
      <c r="F8" s="41"/>
      <c r="G8" s="41" t="s">
        <v>107</v>
      </c>
      <c r="H8" s="41"/>
      <c r="I8" s="41"/>
      <c r="J8" s="41"/>
      <c r="K8" s="41"/>
      <c r="L8" s="41" t="s">
        <v>108</v>
      </c>
      <c r="M8" s="41"/>
    </row>
    <row r="9" spans="1:13" ht="16.5" thickBot="1" thickTop="1">
      <c r="A9" s="49" t="s">
        <v>109</v>
      </c>
      <c r="B9" s="49" t="s">
        <v>110</v>
      </c>
      <c r="C9" s="50" t="s">
        <v>111</v>
      </c>
      <c r="D9" s="50" t="s">
        <v>112</v>
      </c>
      <c r="E9" s="50" t="s">
        <v>113</v>
      </c>
      <c r="F9" s="50" t="s">
        <v>114</v>
      </c>
      <c r="G9" s="50" t="s">
        <v>115</v>
      </c>
      <c r="H9" s="50" t="s">
        <v>12</v>
      </c>
      <c r="I9" s="50" t="s">
        <v>13</v>
      </c>
      <c r="J9" s="48" t="s">
        <v>191</v>
      </c>
      <c r="K9" s="50" t="s">
        <v>190</v>
      </c>
      <c r="L9" s="160" t="s">
        <v>116</v>
      </c>
      <c r="M9" s="50" t="s">
        <v>117</v>
      </c>
    </row>
    <row r="10" spans="1:13" ht="15.75" thickTop="1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</row>
    <row r="11" spans="1:13" ht="15">
      <c r="A11" s="64" t="s">
        <v>118</v>
      </c>
      <c r="B11" s="65">
        <v>400</v>
      </c>
      <c r="C11" s="66">
        <v>3.1</v>
      </c>
      <c r="D11" s="66">
        <v>6</v>
      </c>
      <c r="E11" s="67">
        <f>DETAIL!L18</f>
        <v>0.6629</v>
      </c>
      <c r="F11" s="67">
        <f>DETAIL!L10</f>
        <v>1.6408</v>
      </c>
      <c r="G11" s="67">
        <f>DETAIL!L11</f>
        <v>0.8353</v>
      </c>
      <c r="H11" s="67">
        <f>DETAIL!L12</f>
        <v>0.4618</v>
      </c>
      <c r="I11" s="67">
        <f>DETAIL!L13</f>
        <v>0.2431</v>
      </c>
      <c r="J11" s="67">
        <f>DETAIL!L14</f>
        <v>0.221</v>
      </c>
      <c r="K11" s="67">
        <f>DETAIL!L15</f>
        <v>0.2065</v>
      </c>
      <c r="L11" s="67">
        <f>DETAIL!L16</f>
        <v>0.1231</v>
      </c>
      <c r="M11" s="68">
        <f>DETAIL!L17</f>
        <v>0.104</v>
      </c>
    </row>
    <row r="12" spans="1:13" ht="15">
      <c r="A12" s="64" t="s">
        <v>53</v>
      </c>
      <c r="B12" s="65">
        <v>800</v>
      </c>
      <c r="C12" s="66">
        <v>1.5</v>
      </c>
      <c r="D12" s="66">
        <v>3.09</v>
      </c>
      <c r="E12" s="67">
        <f>DETAIL!L28</f>
        <v>0.6632</v>
      </c>
      <c r="F12" s="67">
        <f>DETAIL!L20</f>
        <v>1.6419</v>
      </c>
      <c r="G12" s="67">
        <f>DETAIL!L21</f>
        <v>0.8358</v>
      </c>
      <c r="H12" s="67">
        <f>DETAIL!L22</f>
        <v>0.462</v>
      </c>
      <c r="I12" s="67">
        <f>DETAIL!L23</f>
        <v>0.2432</v>
      </c>
      <c r="J12" s="67">
        <f>DETAIL!L24</f>
        <v>0.2211</v>
      </c>
      <c r="K12" s="67">
        <f>DETAIL!L25</f>
        <v>0.2065</v>
      </c>
      <c r="L12" s="67">
        <f>DETAIL!L26</f>
        <v>0.1231</v>
      </c>
      <c r="M12" s="68">
        <f>DETAIL!L27</f>
        <v>0.1041</v>
      </c>
    </row>
    <row r="13" spans="1:14" ht="15">
      <c r="A13" s="54" t="s">
        <v>99</v>
      </c>
      <c r="B13" s="55">
        <v>900</v>
      </c>
      <c r="C13" s="56">
        <v>0.5</v>
      </c>
      <c r="D13" s="56">
        <v>1.49</v>
      </c>
      <c r="E13" s="57">
        <f>DETAIL!L38</f>
        <v>0.6632</v>
      </c>
      <c r="F13" s="57">
        <f>DETAIL!L30</f>
        <v>1.6419</v>
      </c>
      <c r="G13" s="57">
        <f>DETAIL!L31</f>
        <v>0.8358</v>
      </c>
      <c r="H13" s="57">
        <f>DETAIL!L32</f>
        <v>0.462</v>
      </c>
      <c r="I13" s="57">
        <f>DETAIL!L33</f>
        <v>0.2432</v>
      </c>
      <c r="J13" s="57">
        <f>DETAIL!L34</f>
        <v>0.2211</v>
      </c>
      <c r="K13" s="57">
        <f>DETAIL!L35</f>
        <v>0.2065</v>
      </c>
      <c r="L13" s="57">
        <f>DETAIL!L36</f>
        <v>0.1231</v>
      </c>
      <c r="M13" s="58">
        <f>DETAIL!L37</f>
        <v>0.1041</v>
      </c>
      <c r="N13" s="166"/>
    </row>
    <row r="14" spans="1:13" ht="15">
      <c r="A14" s="59"/>
      <c r="B14" s="60"/>
      <c r="C14" s="61"/>
      <c r="D14" s="61"/>
      <c r="E14" s="62"/>
      <c r="F14" s="62"/>
      <c r="G14" s="62"/>
      <c r="H14" s="62"/>
      <c r="I14" s="62"/>
      <c r="J14" s="62"/>
      <c r="K14" s="62"/>
      <c r="L14" s="62"/>
      <c r="M14" s="63"/>
    </row>
    <row r="15" spans="1:13" ht="15">
      <c r="A15" s="54" t="s">
        <v>55</v>
      </c>
      <c r="B15" s="55">
        <v>1200</v>
      </c>
      <c r="C15" s="56">
        <v>0</v>
      </c>
      <c r="D15" s="56">
        <v>0.49</v>
      </c>
      <c r="E15" s="57">
        <f>DETAIL!L48</f>
        <v>0.6665</v>
      </c>
      <c r="F15" s="57">
        <f>DETAIL!L40</f>
        <v>1.6553</v>
      </c>
      <c r="G15" s="57">
        <f>DETAIL!L41</f>
        <v>0.8426</v>
      </c>
      <c r="H15" s="57">
        <f>DETAIL!L42</f>
        <v>0.4653</v>
      </c>
      <c r="I15" s="57">
        <f>DETAIL!L43</f>
        <v>0.2448</v>
      </c>
      <c r="J15" s="57">
        <f>DETAIL!L44</f>
        <v>0.2223</v>
      </c>
      <c r="K15" s="57">
        <f>DETAIL!L45</f>
        <v>0.2075</v>
      </c>
      <c r="L15" s="57">
        <f>DETAIL!L46</f>
        <v>0.124</v>
      </c>
      <c r="M15" s="58">
        <f>DETAIL!L47</f>
        <v>0.1045</v>
      </c>
    </row>
    <row r="16" spans="1:13" ht="15">
      <c r="A16" s="59"/>
      <c r="B16" s="60"/>
      <c r="C16" s="61"/>
      <c r="D16" s="61"/>
      <c r="E16" s="62"/>
      <c r="F16" s="62"/>
      <c r="G16" s="62"/>
      <c r="H16" s="62"/>
      <c r="I16" s="62"/>
      <c r="J16" s="62"/>
      <c r="K16" s="62"/>
      <c r="L16" s="62"/>
      <c r="M16" s="63"/>
    </row>
    <row r="17" spans="1:13" ht="15">
      <c r="A17" s="64" t="s">
        <v>22</v>
      </c>
      <c r="B17" s="65">
        <v>500</v>
      </c>
      <c r="C17" s="66">
        <v>3.1</v>
      </c>
      <c r="D17" s="66">
        <v>6</v>
      </c>
      <c r="E17" s="67">
        <f>DETAIL!L58</f>
        <v>0.6621</v>
      </c>
      <c r="F17" s="67">
        <f>DETAIL!L50</f>
        <v>1.6377</v>
      </c>
      <c r="G17" s="67">
        <f>DETAIL!L51</f>
        <v>0.8338</v>
      </c>
      <c r="H17" s="67">
        <f>DETAIL!L52</f>
        <v>0.461</v>
      </c>
      <c r="I17" s="67">
        <f>DETAIL!L53</f>
        <v>0.2427</v>
      </c>
      <c r="J17" s="67">
        <f>DETAIL!L54</f>
        <v>0.2208</v>
      </c>
      <c r="K17" s="67">
        <f>DETAIL!L55</f>
        <v>0.2062</v>
      </c>
      <c r="L17" s="67">
        <f>DETAIL!L56</f>
        <v>0.1229</v>
      </c>
      <c r="M17" s="68">
        <f>DETAIL!L57</f>
        <v>0.104</v>
      </c>
    </row>
    <row r="18" spans="1:13" ht="15">
      <c r="A18" s="64" t="s">
        <v>56</v>
      </c>
      <c r="B18" s="65">
        <v>600</v>
      </c>
      <c r="C18" s="66">
        <v>0.5</v>
      </c>
      <c r="D18" s="66">
        <v>3.09</v>
      </c>
      <c r="E18" s="67">
        <f>DETAIL!L68</f>
        <v>0.6621</v>
      </c>
      <c r="F18" s="67">
        <f>DETAIL!L60</f>
        <v>1.6377</v>
      </c>
      <c r="G18" s="67">
        <f>DETAIL!L61</f>
        <v>0.8338</v>
      </c>
      <c r="H18" s="67">
        <f>DETAIL!L62</f>
        <v>0.461</v>
      </c>
      <c r="I18" s="67">
        <f>DETAIL!L63</f>
        <v>0.2427</v>
      </c>
      <c r="J18" s="67">
        <f>DETAIL!L64</f>
        <v>0.2208</v>
      </c>
      <c r="K18" s="67">
        <f>DETAIL!L65</f>
        <v>0.2062</v>
      </c>
      <c r="L18" s="67">
        <f>DETAIL!L66</f>
        <v>0.1229</v>
      </c>
      <c r="M18" s="68">
        <f>DETAIL!L67</f>
        <v>0.104</v>
      </c>
    </row>
    <row r="19" spans="1:13" ht="15">
      <c r="A19" s="64" t="s">
        <v>196</v>
      </c>
      <c r="B19" s="65">
        <v>700</v>
      </c>
      <c r="C19" s="66">
        <v>0</v>
      </c>
      <c r="D19" s="66">
        <v>0.49</v>
      </c>
      <c r="E19" s="67">
        <f>DETAIL!L78</f>
        <v>0.6621</v>
      </c>
      <c r="F19" s="67">
        <f>DETAIL!L70</f>
        <v>1.6377</v>
      </c>
      <c r="G19" s="67">
        <f>DETAIL!L71</f>
        <v>0.8338</v>
      </c>
      <c r="H19" s="67">
        <f>DETAIL!L72</f>
        <v>0.461</v>
      </c>
      <c r="I19" s="67">
        <f>DETAIL!L73</f>
        <v>0.2427</v>
      </c>
      <c r="J19" s="67">
        <f>DETAIL!L74</f>
        <v>0.2208</v>
      </c>
      <c r="K19" s="67">
        <f>DETAIL!L75</f>
        <v>0.2062</v>
      </c>
      <c r="L19" s="67">
        <f>DETAIL!L76</f>
        <v>0.1229</v>
      </c>
      <c r="M19" s="68">
        <f>DETAIL!L77</f>
        <v>0.104</v>
      </c>
    </row>
    <row r="20" spans="1:13" ht="15">
      <c r="A20" s="59"/>
      <c r="B20" s="60"/>
      <c r="C20" s="61"/>
      <c r="D20" s="61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>
      <c r="A21" s="64" t="s">
        <v>24</v>
      </c>
      <c r="B21" s="65">
        <v>1000</v>
      </c>
      <c r="C21" s="66">
        <v>0</v>
      </c>
      <c r="D21" s="66">
        <v>6</v>
      </c>
      <c r="E21" s="67">
        <f>DETAIL!L88</f>
        <v>0.7542</v>
      </c>
      <c r="F21" s="67">
        <f>DETAIL!L80</f>
        <v>2.0059</v>
      </c>
      <c r="G21" s="67">
        <f>DETAIL!L81</f>
        <v>1.0178</v>
      </c>
      <c r="H21" s="67">
        <f>DETAIL!L82</f>
        <v>0.553</v>
      </c>
      <c r="I21" s="67">
        <f>DETAIL!L83</f>
        <v>0.2887</v>
      </c>
      <c r="J21" s="67">
        <f>DETAIL!L84</f>
        <v>0.2552</v>
      </c>
      <c r="K21" s="67">
        <f>DETAIL!L85</f>
        <v>0.235</v>
      </c>
      <c r="L21" s="67">
        <f>DETAIL!L86</f>
        <v>0.1459</v>
      </c>
      <c r="M21" s="68">
        <f>DETAIL!L87</f>
        <v>0.1155</v>
      </c>
    </row>
    <row r="22" spans="1:13" ht="15">
      <c r="A22" s="64" t="s">
        <v>169</v>
      </c>
      <c r="B22" s="65">
        <v>510</v>
      </c>
      <c r="C22" s="66">
        <v>0</v>
      </c>
      <c r="D22" s="66">
        <v>17.99</v>
      </c>
      <c r="E22" s="67">
        <f>DETAIL!L98</f>
        <v>1.0046</v>
      </c>
      <c r="F22" s="67">
        <f>DETAIL!L90</f>
        <v>3.0075</v>
      </c>
      <c r="G22" s="67">
        <f>DETAIL!L91</f>
        <v>1.5187</v>
      </c>
      <c r="H22" s="67">
        <f>DETAIL!L92</f>
        <v>0.8034</v>
      </c>
      <c r="I22" s="67">
        <f>DETAIL!L93</f>
        <v>0.4139</v>
      </c>
      <c r="J22" s="67">
        <f>DETAIL!L94</f>
        <v>0.3491</v>
      </c>
      <c r="K22" s="67">
        <f>DETAIL!L95</f>
        <v>0.3132</v>
      </c>
      <c r="L22" s="67">
        <f>DETAIL!L96</f>
        <v>0.2085</v>
      </c>
      <c r="M22" s="68">
        <f>DETAIL!L97</f>
        <v>0.1467</v>
      </c>
    </row>
    <row r="23" spans="1:13" ht="15">
      <c r="A23" s="59"/>
      <c r="B23" s="60"/>
      <c r="C23" s="61"/>
      <c r="D23" s="61"/>
      <c r="E23" s="62"/>
      <c r="F23" s="62"/>
      <c r="G23" s="62"/>
      <c r="H23" s="62"/>
      <c r="I23" s="62"/>
      <c r="J23" s="62"/>
      <c r="K23" s="62"/>
      <c r="L23" s="62"/>
      <c r="M23" s="63"/>
    </row>
    <row r="24" spans="1:13" ht="15">
      <c r="A24" s="54" t="s">
        <v>119</v>
      </c>
      <c r="B24" s="55">
        <v>1500</v>
      </c>
      <c r="C24" s="56">
        <v>6.01</v>
      </c>
      <c r="D24" s="56">
        <v>17.99</v>
      </c>
      <c r="E24" s="57">
        <f>DETAIL!L107</f>
        <v>0.8494</v>
      </c>
      <c r="F24" s="57"/>
      <c r="G24" s="57">
        <f>DETAIL!L100</f>
        <v>1.2083</v>
      </c>
      <c r="H24" s="57">
        <f>DETAIL!L101</f>
        <v>0.6483</v>
      </c>
      <c r="I24" s="57">
        <f>DETAIL!L102</f>
        <v>0.3363</v>
      </c>
      <c r="J24" s="57">
        <f>DETAIL!L103</f>
        <v>0.2909</v>
      </c>
      <c r="K24" s="57">
        <f>DETAIL!L104</f>
        <v>0.2648</v>
      </c>
      <c r="L24" s="57">
        <f>DETAIL!L105</f>
        <v>0.1697</v>
      </c>
      <c r="M24" s="58"/>
    </row>
    <row r="25" spans="1:13" ht="15">
      <c r="A25" s="59"/>
      <c r="B25" s="60"/>
      <c r="C25" s="61"/>
      <c r="D25" s="61"/>
      <c r="E25" s="62"/>
      <c r="F25" s="62"/>
      <c r="G25" s="62"/>
      <c r="H25" s="62"/>
      <c r="I25" s="62"/>
      <c r="J25" s="62"/>
      <c r="K25" s="62"/>
      <c r="L25" s="62"/>
      <c r="M25" s="63"/>
    </row>
    <row r="26" spans="1:13" ht="15">
      <c r="A26" s="64" t="s">
        <v>76</v>
      </c>
      <c r="B26" s="65">
        <v>1700</v>
      </c>
      <c r="C26" s="66">
        <v>18</v>
      </c>
      <c r="D26" s="66">
        <v>29.99</v>
      </c>
      <c r="E26" s="67">
        <f>DETAIL!L119</f>
        <v>0.8451</v>
      </c>
      <c r="F26" s="67"/>
      <c r="G26" s="67">
        <f>DETAIL!L112</f>
        <v>1.1998</v>
      </c>
      <c r="H26" s="67">
        <f>DETAIL!L113</f>
        <v>0.644</v>
      </c>
      <c r="I26" s="67">
        <f>DETAIL!L114</f>
        <v>0.3342</v>
      </c>
      <c r="J26" s="67">
        <f>DETAIL!L115</f>
        <v>0.2894</v>
      </c>
      <c r="K26" s="67">
        <f>DETAIL!L116</f>
        <v>0.2634</v>
      </c>
      <c r="L26" s="67">
        <f>DETAIL!L117</f>
        <v>0.1686</v>
      </c>
      <c r="M26" s="68"/>
    </row>
    <row r="27" spans="1:13" ht="15">
      <c r="A27" s="64" t="s">
        <v>58</v>
      </c>
      <c r="B27" s="65">
        <v>1800</v>
      </c>
      <c r="C27" s="66">
        <v>30</v>
      </c>
      <c r="D27" s="66">
        <v>35.99</v>
      </c>
      <c r="E27" s="67">
        <f>DETAIL!L128</f>
        <v>0.8451</v>
      </c>
      <c r="F27" s="67"/>
      <c r="G27" s="67">
        <f>DETAIL!L121</f>
        <v>1.1998</v>
      </c>
      <c r="H27" s="67">
        <f>DETAIL!L122</f>
        <v>0.644</v>
      </c>
      <c r="I27" s="67">
        <f>DETAIL!L123</f>
        <v>0.3342</v>
      </c>
      <c r="J27" s="67">
        <f>DETAIL!L124</f>
        <v>0.2894</v>
      </c>
      <c r="K27" s="67">
        <f>DETAIL!L125</f>
        <v>0.2634</v>
      </c>
      <c r="L27" s="67">
        <f>DETAIL!L126</f>
        <v>0.1686</v>
      </c>
      <c r="M27" s="68"/>
    </row>
    <row r="28" spans="1:13" ht="15">
      <c r="A28" s="54" t="s">
        <v>59</v>
      </c>
      <c r="B28" s="55">
        <v>1900</v>
      </c>
      <c r="C28" s="56">
        <v>36</v>
      </c>
      <c r="D28" s="56">
        <v>50</v>
      </c>
      <c r="E28" s="57">
        <f>DETAIL!L137</f>
        <v>0.8451</v>
      </c>
      <c r="F28" s="57"/>
      <c r="G28" s="57">
        <f>DETAIL!L130</f>
        <v>1.1998</v>
      </c>
      <c r="H28" s="57">
        <f>DETAIL!L131</f>
        <v>0.644</v>
      </c>
      <c r="I28" s="57">
        <f>DETAIL!L132</f>
        <v>0.3342</v>
      </c>
      <c r="J28" s="57">
        <f>DETAIL!L133</f>
        <v>0.2894</v>
      </c>
      <c r="K28" s="57">
        <f>DETAIL!L134</f>
        <v>0.2634</v>
      </c>
      <c r="L28" s="57">
        <f>DETAIL!L135</f>
        <v>0.1686</v>
      </c>
      <c r="M28" s="58"/>
    </row>
    <row r="29" spans="1:13" ht="15">
      <c r="A29" s="59"/>
      <c r="B29" s="60"/>
      <c r="C29" s="61"/>
      <c r="D29" s="61"/>
      <c r="E29" s="212" t="str">
        <f>FIXED(E30/2.1275,4)&amp;" /LB."</f>
        <v>0.5921 /LB.</v>
      </c>
      <c r="F29" s="62"/>
      <c r="G29" s="62"/>
      <c r="H29" s="62"/>
      <c r="I29" s="62"/>
      <c r="J29" s="62"/>
      <c r="K29" s="62"/>
      <c r="L29" s="62"/>
      <c r="M29" s="63"/>
    </row>
    <row r="30" spans="1:13" ht="15.75" thickBot="1">
      <c r="A30" s="69" t="s">
        <v>120</v>
      </c>
      <c r="B30" s="70">
        <v>1600</v>
      </c>
      <c r="C30" s="71">
        <v>0</v>
      </c>
      <c r="D30" s="71">
        <v>29.99</v>
      </c>
      <c r="E30" s="72">
        <f>DETAIL!L146</f>
        <v>1.2596</v>
      </c>
      <c r="F30" s="72"/>
      <c r="G30" s="72">
        <f>DETAIL!L139</f>
        <v>2.2625</v>
      </c>
      <c r="H30" s="72">
        <f>DETAIL!L140</f>
        <v>1.1754</v>
      </c>
      <c r="I30" s="72">
        <f>DETAIL!L141</f>
        <v>0.5999</v>
      </c>
      <c r="J30" s="72">
        <f>DETAIL!L142</f>
        <v>0.4506</v>
      </c>
      <c r="K30" s="72">
        <f>DETAIL!L143</f>
        <v>0.3732</v>
      </c>
      <c r="L30" s="72">
        <f>DETAIL!L144</f>
        <v>0.3015</v>
      </c>
      <c r="M30" s="73"/>
    </row>
    <row r="31" spans="1:13" ht="15.75" thickTop="1">
      <c r="A31" s="74" t="s">
        <v>121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1:13" ht="15">
      <c r="A32" s="74" t="s">
        <v>122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1:13" ht="15">
      <c r="A33" s="74" t="s">
        <v>123</v>
      </c>
      <c r="B33" s="161" t="s">
        <v>124</v>
      </c>
      <c r="C33" s="165">
        <f>DETAIL!L108</f>
        <v>0.0155</v>
      </c>
      <c r="D33" s="75"/>
      <c r="E33" s="164" t="s">
        <v>125</v>
      </c>
      <c r="F33" s="165">
        <f>DETAIL!L109</f>
        <v>0.0209</v>
      </c>
      <c r="G33" s="164"/>
      <c r="H33" s="164" t="s">
        <v>126</v>
      </c>
      <c r="I33" s="165">
        <f>DETAIL!L110</f>
        <v>0.0312</v>
      </c>
      <c r="J33" s="165"/>
      <c r="K33" s="74"/>
      <c r="L33" s="74"/>
      <c r="M33" s="74"/>
    </row>
    <row r="34" spans="1:13" ht="15">
      <c r="A34" s="74" t="s">
        <v>127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  <row r="35" spans="1:13" ht="15">
      <c r="A35" s="74" t="s">
        <v>180</v>
      </c>
      <c r="B35" s="214">
        <f>E30/2.1275*5</f>
        <v>2.9602820211515866</v>
      </c>
      <c r="D35" s="162" t="s">
        <v>129</v>
      </c>
      <c r="E35" s="214">
        <f>B35*2</f>
        <v>5.920564042303173</v>
      </c>
      <c r="F35" s="74"/>
      <c r="G35" s="74"/>
      <c r="H35" s="74"/>
      <c r="I35" s="74"/>
      <c r="J35" s="74"/>
      <c r="K35" s="74"/>
      <c r="L35" s="74"/>
      <c r="M35" s="74"/>
    </row>
    <row r="36" spans="1:13" ht="15">
      <c r="A36" s="74" t="s">
        <v>130</v>
      </c>
      <c r="B36" s="74"/>
      <c r="C36" s="163"/>
      <c r="D36" s="74"/>
      <c r="E36" s="74"/>
      <c r="F36" s="74"/>
      <c r="G36" s="74"/>
      <c r="H36" s="74"/>
      <c r="I36" s="74"/>
      <c r="J36" s="74"/>
      <c r="K36" s="74"/>
      <c r="L36" s="74"/>
      <c r="M36" s="74"/>
    </row>
    <row r="37" spans="1:13" ht="15">
      <c r="A37" s="301">
        <f>INPUT!B20</f>
        <v>0</v>
      </c>
      <c r="B37" s="301"/>
      <c r="C37" s="301"/>
      <c r="D37" s="301"/>
      <c r="E37" s="301"/>
      <c r="F37" s="74"/>
      <c r="G37" s="74"/>
      <c r="H37" s="74"/>
      <c r="I37" s="74"/>
      <c r="J37" s="74"/>
      <c r="K37" s="74"/>
      <c r="L37" s="74"/>
      <c r="M37" s="74"/>
    </row>
    <row r="38" spans="6:11" ht="12.75">
      <c r="F38" s="224"/>
      <c r="G38" s="224"/>
      <c r="H38" s="224"/>
      <c r="I38" s="224"/>
      <c r="J38" s="224"/>
      <c r="K38" s="223"/>
    </row>
    <row r="39" spans="1:13" ht="34.5">
      <c r="A39" s="36" t="str">
        <f>+A1</f>
        <v>AREA  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18">
      <c r="A40" s="37" t="s">
        <v>43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ht="18">
      <c r="A41" s="37" t="str">
        <f>+A3</f>
        <v>                                       WEST CENTRAL MILK MARKETING AREA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3" ht="18">
      <c r="A42" s="37" t="s">
        <v>131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13" ht="18">
      <c r="A43" s="37" t="s">
        <v>132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 ht="33.75" thickBot="1">
      <c r="A44" s="170">
        <f>INPUT!B3</f>
        <v>0</v>
      </c>
      <c r="B44" s="33"/>
      <c r="C44" s="33" t="s">
        <v>133</v>
      </c>
      <c r="D44" s="190"/>
      <c r="E44" s="33"/>
      <c r="F44" s="33"/>
      <c r="G44" s="33"/>
      <c r="H44" s="33"/>
      <c r="J44" s="159"/>
      <c r="L44" s="33"/>
      <c r="M44" s="299" t="str">
        <f>I6</f>
        <v>OGO A-956 (CRO-5)</v>
      </c>
    </row>
    <row r="45" spans="1:13" ht="16.5" thickBot="1" thickTop="1">
      <c r="A45" s="38"/>
      <c r="B45" s="38"/>
      <c r="C45" s="39" t="s">
        <v>101</v>
      </c>
      <c r="D45" s="40"/>
      <c r="E45" s="41" t="s">
        <v>102</v>
      </c>
      <c r="F45" s="42" t="s">
        <v>103</v>
      </c>
      <c r="G45" s="43"/>
      <c r="H45" s="43"/>
      <c r="I45" s="43"/>
      <c r="J45" s="43"/>
      <c r="K45" s="43"/>
      <c r="L45" s="43"/>
      <c r="M45" s="44"/>
    </row>
    <row r="46" spans="1:13" ht="16.5" thickBot="1" thickTop="1">
      <c r="A46" s="45"/>
      <c r="B46" s="45" t="s">
        <v>104</v>
      </c>
      <c r="C46" s="46" t="s">
        <v>134</v>
      </c>
      <c r="D46" s="47"/>
      <c r="E46" s="48" t="s">
        <v>106</v>
      </c>
      <c r="F46" s="41"/>
      <c r="G46" s="41" t="s">
        <v>107</v>
      </c>
      <c r="H46" s="41"/>
      <c r="I46" s="41"/>
      <c r="J46" s="41"/>
      <c r="K46" s="41"/>
      <c r="L46" s="41" t="s">
        <v>108</v>
      </c>
      <c r="M46" s="41"/>
    </row>
    <row r="47" spans="1:13" ht="16.5" thickBot="1" thickTop="1">
      <c r="A47" s="49" t="s">
        <v>109</v>
      </c>
      <c r="B47" s="49" t="s">
        <v>110</v>
      </c>
      <c r="C47" s="50" t="s">
        <v>111</v>
      </c>
      <c r="D47" s="50" t="s">
        <v>112</v>
      </c>
      <c r="E47" s="50" t="s">
        <v>113</v>
      </c>
      <c r="F47" s="50" t="s">
        <v>114</v>
      </c>
      <c r="G47" s="50" t="s">
        <v>115</v>
      </c>
      <c r="H47" s="50" t="s">
        <v>12</v>
      </c>
      <c r="I47" s="50" t="s">
        <v>13</v>
      </c>
      <c r="J47" s="48" t="s">
        <v>191</v>
      </c>
      <c r="K47" s="50" t="s">
        <v>190</v>
      </c>
      <c r="L47" s="160" t="s">
        <v>116</v>
      </c>
      <c r="M47" s="50" t="s">
        <v>117</v>
      </c>
    </row>
    <row r="48" spans="1:13" ht="15.75" thickTop="1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3"/>
    </row>
    <row r="49" spans="1:13" ht="15">
      <c r="A49" s="64" t="s">
        <v>118</v>
      </c>
      <c r="B49" s="65">
        <v>400</v>
      </c>
      <c r="C49" s="66">
        <v>3.1</v>
      </c>
      <c r="D49" s="66">
        <v>6</v>
      </c>
      <c r="E49" s="66">
        <f>DETAIL!P18</f>
        <v>0.67</v>
      </c>
      <c r="F49" s="66">
        <f>DETAIL!P10</f>
        <v>1.48</v>
      </c>
      <c r="G49" s="66">
        <f>DETAIL!P11</f>
        <v>0.85</v>
      </c>
      <c r="H49" s="66">
        <f>DETAIL!P12</f>
        <v>0.47</v>
      </c>
      <c r="I49" s="66">
        <f>DETAIL!P13</f>
        <v>0.25</v>
      </c>
      <c r="J49" s="66">
        <f>DETAIL!P14</f>
        <v>0.23</v>
      </c>
      <c r="K49" s="66">
        <f>DETAIL!P15</f>
        <v>0.22</v>
      </c>
      <c r="L49" s="66">
        <f>DETAIL!P16</f>
        <v>0.13</v>
      </c>
      <c r="M49" s="112">
        <f>DETAIL!P17</f>
        <v>0.11</v>
      </c>
    </row>
    <row r="50" spans="1:13" ht="15">
      <c r="A50" s="64" t="s">
        <v>53</v>
      </c>
      <c r="B50" s="65">
        <v>800</v>
      </c>
      <c r="C50" s="66">
        <v>1.5</v>
      </c>
      <c r="D50" s="66">
        <v>3.09</v>
      </c>
      <c r="E50" s="66">
        <f>DETAIL!P28</f>
        <v>0.67</v>
      </c>
      <c r="F50" s="66">
        <f>DETAIL!P20</f>
        <v>1.48</v>
      </c>
      <c r="G50" s="66">
        <f>DETAIL!P21</f>
        <v>0.85</v>
      </c>
      <c r="H50" s="66">
        <f>DETAIL!P22</f>
        <v>0.47</v>
      </c>
      <c r="I50" s="66">
        <f>DETAIL!P23</f>
        <v>0.25</v>
      </c>
      <c r="J50" s="66">
        <f>DETAIL!P24</f>
        <v>0.23</v>
      </c>
      <c r="K50" s="66">
        <f>DETAIL!P25</f>
        <v>0.22</v>
      </c>
      <c r="L50" s="66">
        <f>DETAIL!P26</f>
        <v>0.13</v>
      </c>
      <c r="M50" s="112">
        <f>DETAIL!P27</f>
        <v>0.11</v>
      </c>
    </row>
    <row r="51" spans="1:13" ht="15">
      <c r="A51" s="54" t="s">
        <v>99</v>
      </c>
      <c r="B51" s="55">
        <v>900</v>
      </c>
      <c r="C51" s="56">
        <v>0.5</v>
      </c>
      <c r="D51" s="56">
        <v>1.49</v>
      </c>
      <c r="E51" s="56">
        <f>DETAIL!P38</f>
        <v>0.67</v>
      </c>
      <c r="F51" s="56">
        <f>DETAIL!P30</f>
        <v>1.48</v>
      </c>
      <c r="G51" s="56">
        <f>DETAIL!P31</f>
        <v>0.85</v>
      </c>
      <c r="H51" s="56">
        <f>DETAIL!P32</f>
        <v>0.47</v>
      </c>
      <c r="I51" s="56">
        <f>DETAIL!P33</f>
        <v>0.25</v>
      </c>
      <c r="J51" s="56">
        <f>DETAIL!P34</f>
        <v>0.23</v>
      </c>
      <c r="K51" s="56">
        <f>DETAIL!P35</f>
        <v>0.22</v>
      </c>
      <c r="L51" s="56">
        <f>DETAIL!P36</f>
        <v>0.13</v>
      </c>
      <c r="M51" s="110">
        <f>DETAIL!P37</f>
        <v>0.11</v>
      </c>
    </row>
    <row r="52" spans="1:13" ht="15">
      <c r="A52" s="59"/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111"/>
    </row>
    <row r="53" spans="1:13" ht="15">
      <c r="A53" s="54" t="s">
        <v>55</v>
      </c>
      <c r="B53" s="55">
        <v>1200</v>
      </c>
      <c r="C53" s="56">
        <v>0</v>
      </c>
      <c r="D53" s="56">
        <v>0.49</v>
      </c>
      <c r="E53" s="56">
        <f>DETAIL!P48</f>
        <v>0.68</v>
      </c>
      <c r="F53" s="56">
        <f>DETAIL!P40</f>
        <v>1.49</v>
      </c>
      <c r="G53" s="56">
        <f>DETAIL!P41</f>
        <v>0.85</v>
      </c>
      <c r="H53" s="56">
        <f>DETAIL!P42</f>
        <v>0.48</v>
      </c>
      <c r="I53" s="56">
        <f>DETAIL!P43</f>
        <v>0.25</v>
      </c>
      <c r="J53" s="56">
        <f>DETAIL!P44</f>
        <v>0.23</v>
      </c>
      <c r="K53" s="56">
        <f>DETAIL!P45</f>
        <v>0.22</v>
      </c>
      <c r="L53" s="56">
        <f>DETAIL!P46</f>
        <v>0.13</v>
      </c>
      <c r="M53" s="110">
        <f>DETAIL!P47</f>
        <v>0.11</v>
      </c>
    </row>
    <row r="54" spans="1:13" ht="15">
      <c r="A54" s="59"/>
      <c r="B54" s="60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111"/>
    </row>
    <row r="55" spans="1:13" ht="15">
      <c r="A55" s="64" t="s">
        <v>22</v>
      </c>
      <c r="B55" s="65">
        <v>500</v>
      </c>
      <c r="C55" s="66">
        <v>3.1</v>
      </c>
      <c r="D55" s="66">
        <v>6</v>
      </c>
      <c r="E55" s="66">
        <f>DETAIL!P58</f>
        <v>0.67</v>
      </c>
      <c r="F55" s="66">
        <f>DETAIL!P50</f>
        <v>1.47</v>
      </c>
      <c r="G55" s="66">
        <f>DETAIL!P51</f>
        <v>0.84</v>
      </c>
      <c r="H55" s="66">
        <f>DETAIL!P52</f>
        <v>0.47</v>
      </c>
      <c r="I55" s="66">
        <f>DETAIL!P53</f>
        <v>0.25</v>
      </c>
      <c r="J55" s="66">
        <f>DETAIL!P54</f>
        <v>0.23</v>
      </c>
      <c r="K55" s="66">
        <f>DETAIL!P55</f>
        <v>0.22</v>
      </c>
      <c r="L55" s="66">
        <f>DETAIL!P56</f>
        <v>0.13</v>
      </c>
      <c r="M55" s="112">
        <f>DETAIL!P57</f>
        <v>0.11</v>
      </c>
    </row>
    <row r="56" spans="1:13" ht="15">
      <c r="A56" s="64" t="s">
        <v>56</v>
      </c>
      <c r="B56" s="65">
        <v>600</v>
      </c>
      <c r="C56" s="66">
        <v>0.5</v>
      </c>
      <c r="D56" s="66">
        <v>3.09</v>
      </c>
      <c r="E56" s="66">
        <f>DETAIL!P68</f>
        <v>0.67</v>
      </c>
      <c r="F56" s="66">
        <f>DETAIL!P60</f>
        <v>1.47</v>
      </c>
      <c r="G56" s="66">
        <f>DETAIL!P61</f>
        <v>0.84</v>
      </c>
      <c r="H56" s="66">
        <f>DETAIL!P62</f>
        <v>0.47</v>
      </c>
      <c r="I56" s="66">
        <f>DETAIL!P63</f>
        <v>0.25</v>
      </c>
      <c r="J56" s="66">
        <f>DETAIL!P64</f>
        <v>0.23</v>
      </c>
      <c r="K56" s="66">
        <f>DETAIL!P65</f>
        <v>0.22</v>
      </c>
      <c r="L56" s="66">
        <f>DETAIL!P66</f>
        <v>0.13</v>
      </c>
      <c r="M56" s="112">
        <f>DETAIL!P67</f>
        <v>0.11</v>
      </c>
    </row>
    <row r="57" spans="1:13" ht="15">
      <c r="A57" s="64" t="s">
        <v>196</v>
      </c>
      <c r="B57" s="65">
        <v>700</v>
      </c>
      <c r="C57" s="66">
        <v>0</v>
      </c>
      <c r="D57" s="66">
        <v>0.49</v>
      </c>
      <c r="E57" s="66">
        <f>DETAIL!P78</f>
        <v>0.67</v>
      </c>
      <c r="F57" s="66">
        <f>DETAIL!P70</f>
        <v>1.47</v>
      </c>
      <c r="G57" s="66">
        <f>DETAIL!P71</f>
        <v>0.84</v>
      </c>
      <c r="H57" s="66">
        <f>DETAIL!P72</f>
        <v>0.47</v>
      </c>
      <c r="I57" s="66">
        <f>DETAIL!P73</f>
        <v>0.25</v>
      </c>
      <c r="J57" s="66">
        <f>DETAIL!P74</f>
        <v>0.23</v>
      </c>
      <c r="K57" s="66">
        <f>DETAIL!P75</f>
        <v>0.22</v>
      </c>
      <c r="L57" s="66">
        <f>DETAIL!P76</f>
        <v>0.13</v>
      </c>
      <c r="M57" s="112">
        <f>DETAIL!P77</f>
        <v>0.11</v>
      </c>
    </row>
    <row r="58" spans="1:13" ht="15">
      <c r="A58" s="59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111"/>
    </row>
    <row r="59" spans="1:13" ht="15">
      <c r="A59" s="64" t="s">
        <v>24</v>
      </c>
      <c r="B59" s="65">
        <v>1000</v>
      </c>
      <c r="C59" s="66">
        <v>0</v>
      </c>
      <c r="D59" s="66">
        <v>6</v>
      </c>
      <c r="E59" s="66">
        <f>DETAIL!P88</f>
        <v>0.76</v>
      </c>
      <c r="F59" s="66">
        <f>DETAIL!P80</f>
        <v>1.8</v>
      </c>
      <c r="G59" s="66">
        <f>DETAIL!P81</f>
        <v>1.03</v>
      </c>
      <c r="H59" s="66">
        <f>DETAIL!P82</f>
        <v>0.56</v>
      </c>
      <c r="I59" s="66">
        <f>DETAIL!P83</f>
        <v>0.3</v>
      </c>
      <c r="J59" s="66">
        <f>DETAIL!P84</f>
        <v>0.27</v>
      </c>
      <c r="K59" s="66">
        <f>DETAIL!P85</f>
        <v>0.25</v>
      </c>
      <c r="L59" s="66">
        <f>DETAIL!P86</f>
        <v>0.16</v>
      </c>
      <c r="M59" s="112">
        <f>DETAIL!P87</f>
        <v>0.13</v>
      </c>
    </row>
    <row r="60" spans="1:13" ht="15">
      <c r="A60" s="64" t="s">
        <v>169</v>
      </c>
      <c r="B60" s="65">
        <v>510</v>
      </c>
      <c r="C60" s="66">
        <v>0</v>
      </c>
      <c r="D60" s="66">
        <v>17.99</v>
      </c>
      <c r="E60" s="66">
        <f>DETAIL!P98</f>
        <v>1.01</v>
      </c>
      <c r="F60" s="66">
        <f>DETAIL!P90</f>
        <v>3.0174999999999996</v>
      </c>
      <c r="G60" s="66">
        <f>DETAIL!P91</f>
        <v>1.53</v>
      </c>
      <c r="H60" s="66">
        <f>DETAIL!P92</f>
        <v>0.81</v>
      </c>
      <c r="I60" s="66">
        <f>DETAIL!P93</f>
        <v>0.42</v>
      </c>
      <c r="J60" s="66">
        <f>DETAIL!P94</f>
        <v>0.36</v>
      </c>
      <c r="K60" s="66">
        <f>DETAIL!P95</f>
        <v>0.32</v>
      </c>
      <c r="L60" s="66">
        <f>DETAIL!P96</f>
        <v>0.22</v>
      </c>
      <c r="M60" s="112">
        <f>DETAIL!P97</f>
        <v>0.16</v>
      </c>
    </row>
    <row r="61" spans="1:13" ht="15">
      <c r="A61" s="59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111"/>
    </row>
    <row r="62" spans="1:13" ht="15">
      <c r="A62" s="54" t="s">
        <v>135</v>
      </c>
      <c r="B62" s="55">
        <v>1500</v>
      </c>
      <c r="C62" s="56">
        <v>6.01</v>
      </c>
      <c r="D62" s="56">
        <v>17.99</v>
      </c>
      <c r="E62" s="56">
        <f>DETAIL!P107</f>
        <v>0.86</v>
      </c>
      <c r="F62" s="56"/>
      <c r="G62" s="56">
        <f>DETAIL!P100</f>
        <v>1.22</v>
      </c>
      <c r="H62" s="56">
        <f>DETAIL!P101</f>
        <v>0.66</v>
      </c>
      <c r="I62" s="56">
        <f>DETAIL!P102</f>
        <v>0.35</v>
      </c>
      <c r="J62" s="56">
        <f>DETAIL!P103</f>
        <v>0.3</v>
      </c>
      <c r="K62" s="56">
        <f>DETAIL!P104</f>
        <v>0.27</v>
      </c>
      <c r="L62" s="56">
        <f>DETAIL!P105</f>
        <v>0.18</v>
      </c>
      <c r="M62" s="110"/>
    </row>
    <row r="63" spans="1:13" ht="15">
      <c r="A63" s="5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111"/>
    </row>
    <row r="64" spans="1:13" ht="15">
      <c r="A64" s="64" t="s">
        <v>76</v>
      </c>
      <c r="B64" s="65">
        <v>1700</v>
      </c>
      <c r="C64" s="66">
        <v>18</v>
      </c>
      <c r="D64" s="66">
        <v>29.99</v>
      </c>
      <c r="E64" s="66">
        <f>DETAIL!P119</f>
        <v>0.86</v>
      </c>
      <c r="F64" s="66"/>
      <c r="G64" s="66">
        <f>DETAIL!P112</f>
        <v>1.21</v>
      </c>
      <c r="H64" s="66">
        <f>DETAIL!P113</f>
        <v>0.65</v>
      </c>
      <c r="I64" s="66">
        <f>DETAIL!P114</f>
        <v>0.34</v>
      </c>
      <c r="J64" s="66">
        <f>DETAIL!P115</f>
        <v>0.3</v>
      </c>
      <c r="K64" s="66">
        <f>DETAIL!P116</f>
        <v>0.27</v>
      </c>
      <c r="L64" s="66">
        <f>DETAIL!P117</f>
        <v>0.18</v>
      </c>
      <c r="M64" s="112"/>
    </row>
    <row r="65" spans="1:13" ht="15">
      <c r="A65" s="64" t="s">
        <v>58</v>
      </c>
      <c r="B65" s="65">
        <v>1800</v>
      </c>
      <c r="C65" s="66">
        <v>30</v>
      </c>
      <c r="D65" s="66">
        <v>35.99</v>
      </c>
      <c r="E65" s="66">
        <f>DETAIL!P128</f>
        <v>0.86</v>
      </c>
      <c r="F65" s="66"/>
      <c r="G65" s="66">
        <f>DETAIL!P121</f>
        <v>1.21</v>
      </c>
      <c r="H65" s="66">
        <f>DETAIL!P122</f>
        <v>0.65</v>
      </c>
      <c r="I65" s="66">
        <f>DETAIL!P123</f>
        <v>0.34</v>
      </c>
      <c r="J65" s="66">
        <f>DETAIL!P124</f>
        <v>0.3</v>
      </c>
      <c r="K65" s="66">
        <f>DETAIL!P125</f>
        <v>0.27</v>
      </c>
      <c r="L65" s="66">
        <f>DETAIL!P126</f>
        <v>0.18</v>
      </c>
      <c r="M65" s="112"/>
    </row>
    <row r="66" spans="1:13" ht="15">
      <c r="A66" s="54" t="s">
        <v>59</v>
      </c>
      <c r="B66" s="55">
        <v>1900</v>
      </c>
      <c r="C66" s="56">
        <v>36</v>
      </c>
      <c r="D66" s="56">
        <v>50</v>
      </c>
      <c r="E66" s="66">
        <f>DETAIL!P137</f>
        <v>0.86</v>
      </c>
      <c r="F66" s="56"/>
      <c r="G66" s="56">
        <f>DETAIL!P130</f>
        <v>1.21</v>
      </c>
      <c r="H66" s="56">
        <f>DETAIL!P131</f>
        <v>0.65</v>
      </c>
      <c r="I66" s="56">
        <f>DETAIL!P132</f>
        <v>0.34</v>
      </c>
      <c r="J66" s="56">
        <f>DETAIL!P133</f>
        <v>0.3</v>
      </c>
      <c r="K66" s="56">
        <f>DETAIL!P134</f>
        <v>0.27</v>
      </c>
      <c r="L66" s="56">
        <f>DETAIL!P135</f>
        <v>0.18</v>
      </c>
      <c r="M66" s="110"/>
    </row>
    <row r="67" spans="1:13" ht="15">
      <c r="A67" s="5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111"/>
    </row>
    <row r="68" spans="1:13" ht="15.75" thickBot="1">
      <c r="A68" s="69" t="s">
        <v>136</v>
      </c>
      <c r="B68" s="70">
        <v>1600</v>
      </c>
      <c r="C68" s="71">
        <v>0</v>
      </c>
      <c r="D68" s="71">
        <v>29.99</v>
      </c>
      <c r="E68" s="71">
        <f>DETAIL!P146</f>
        <v>1.27</v>
      </c>
      <c r="F68" s="71"/>
      <c r="G68" s="71">
        <f>DETAIL!P139</f>
        <v>2.27</v>
      </c>
      <c r="H68" s="71">
        <f>DETAIL!P140</f>
        <v>1.19</v>
      </c>
      <c r="I68" s="71">
        <f>DETAIL!P141</f>
        <v>0.61</v>
      </c>
      <c r="J68" s="71">
        <f>DETAIL!P142</f>
        <v>0.46</v>
      </c>
      <c r="K68" s="71">
        <f>DETAIL!P143</f>
        <v>0.38</v>
      </c>
      <c r="L68" s="71">
        <f>DETAIL!P144</f>
        <v>0.31</v>
      </c>
      <c r="M68" s="113"/>
    </row>
    <row r="69" spans="1:13" ht="15.75" thickTop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</row>
    <row r="70" spans="1:13" ht="15">
      <c r="A70" s="74" t="s">
        <v>137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</row>
    <row r="71" spans="1:13" ht="15">
      <c r="A71" s="74" t="s">
        <v>138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</row>
    <row r="72" spans="1:13" ht="15">
      <c r="A72" s="74" t="s">
        <v>139</v>
      </c>
      <c r="B72" s="162" t="s">
        <v>128</v>
      </c>
      <c r="C72" s="114">
        <f>ROUND(B35+0.075,2)</f>
        <v>3.04</v>
      </c>
      <c r="D72" s="74"/>
      <c r="E72" s="74"/>
      <c r="F72" s="74"/>
      <c r="G72" s="74"/>
      <c r="H72" s="74"/>
      <c r="I72" s="74"/>
      <c r="J72" s="74"/>
      <c r="K72" s="74"/>
      <c r="L72" s="74"/>
      <c r="M72" s="74"/>
    </row>
    <row r="73" spans="1:13" ht="15">
      <c r="A73" s="74"/>
      <c r="B73" s="162" t="s">
        <v>129</v>
      </c>
      <c r="C73" s="114">
        <f>ROUND(E35+0.15,2)</f>
        <v>6.07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</row>
    <row r="74" spans="1:13" ht="15">
      <c r="A74" s="74" t="s">
        <v>140</v>
      </c>
      <c r="D74" s="74"/>
      <c r="E74" s="74"/>
      <c r="F74" s="74"/>
      <c r="G74" s="74"/>
      <c r="H74" s="74"/>
      <c r="I74" s="74"/>
      <c r="J74" s="74"/>
      <c r="K74" s="74"/>
      <c r="L74" s="74"/>
      <c r="M74" s="74"/>
    </row>
    <row r="75" spans="1:13" ht="15">
      <c r="A75" s="246" t="str">
        <f>CONCATENATE("        /5/  ADD $",INPUT!E20," WHEN SOLD IN RIGID PLASTIC CONTAINERS.")</f>
        <v>        /5/  ADD $0.01 WHEN SOLD IN RIGID PLASTIC CONTAINERS.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</row>
    <row r="76" spans="1:13" ht="1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</row>
  </sheetData>
  <sheetProtection/>
  <mergeCells count="2">
    <mergeCell ref="I6:M6"/>
    <mergeCell ref="A37:E37"/>
  </mergeCells>
  <printOptions horizontalCentered="1" verticalCentered="1"/>
  <pageMargins left="0.25" right="0.25" top="0.25" bottom="0.25" header="0.5" footer="0.5"/>
  <pageSetup horizontalDpi="600" verticalDpi="600" orientation="landscape" scale="90" r:id="rId1"/>
  <rowBreaks count="1" manualBreakCount="1">
    <brk id="3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4:I15"/>
  <sheetViews>
    <sheetView zoomScalePageLayoutView="0" workbookViewId="0" topLeftCell="A1">
      <selection activeCell="F6" sqref="F6"/>
    </sheetView>
  </sheetViews>
  <sheetFormatPr defaultColWidth="9.140625" defaultRowHeight="12.75"/>
  <cols>
    <col min="2" max="2" width="13.8515625" style="0" customWidth="1"/>
    <col min="3" max="3" width="14.421875" style="0" customWidth="1"/>
    <col min="5" max="5" width="11.00390625" style="0" customWidth="1"/>
    <col min="6" max="6" width="15.8515625" style="0" customWidth="1"/>
    <col min="8" max="8" width="12.8515625" style="0" customWidth="1"/>
    <col min="9" max="9" width="11.7109375" style="0" customWidth="1"/>
  </cols>
  <sheetData>
    <row r="4" spans="1:8" ht="12.75">
      <c r="A4" t="s">
        <v>141</v>
      </c>
      <c r="B4" t="s">
        <v>142</v>
      </c>
      <c r="C4" t="s">
        <v>143</v>
      </c>
      <c r="E4" t="s">
        <v>144</v>
      </c>
      <c r="F4" t="s">
        <v>145</v>
      </c>
      <c r="H4" t="s">
        <v>146</v>
      </c>
    </row>
    <row r="6" spans="1:8" ht="12.75">
      <c r="A6" t="s">
        <v>147</v>
      </c>
      <c r="B6" s="125">
        <v>11150045</v>
      </c>
      <c r="C6" s="125">
        <f>+B6*4</f>
        <v>44600180</v>
      </c>
      <c r="D6" s="127">
        <f>+C6/C$15</f>
        <v>0.5540165441094267</v>
      </c>
      <c r="E6">
        <v>50</v>
      </c>
      <c r="F6" s="126">
        <f>B6/E6</f>
        <v>223000.9</v>
      </c>
      <c r="G6" s="127">
        <f>+F6/F$15</f>
        <v>0.3467618654642904</v>
      </c>
      <c r="H6" s="125">
        <f>+F6*4</f>
        <v>892003.6</v>
      </c>
    </row>
    <row r="7" spans="1:8" ht="12.75">
      <c r="A7" t="s">
        <v>148</v>
      </c>
      <c r="B7" s="125">
        <v>10509991</v>
      </c>
      <c r="C7" s="125">
        <f>+B7*2</f>
        <v>21019982</v>
      </c>
      <c r="D7" s="127">
        <f aca="true" t="shared" si="0" ref="D7:D13">+C7/$C$15</f>
        <v>0.26110696828762475</v>
      </c>
      <c r="E7">
        <v>80</v>
      </c>
      <c r="F7" s="126">
        <f aca="true" t="shared" si="1" ref="F7:F13">B7/E7</f>
        <v>131374.8875</v>
      </c>
      <c r="G7" s="127">
        <f aca="true" t="shared" si="2" ref="G7:G13">+F7/F$15</f>
        <v>0.20428527895923868</v>
      </c>
      <c r="H7" s="125">
        <f>+F7*2</f>
        <v>262749.775</v>
      </c>
    </row>
    <row r="8" spans="1:8" ht="12.75">
      <c r="A8" t="s">
        <v>149</v>
      </c>
      <c r="B8" s="125">
        <v>3835959</v>
      </c>
      <c r="C8" s="125">
        <f>+B8</f>
        <v>3835959</v>
      </c>
      <c r="D8" s="127">
        <f t="shared" si="0"/>
        <v>0.04764968994576821</v>
      </c>
      <c r="E8">
        <v>86</v>
      </c>
      <c r="F8" s="126">
        <f t="shared" si="1"/>
        <v>44604.17441860465</v>
      </c>
      <c r="G8" s="127">
        <f t="shared" si="2"/>
        <v>0.06935858433257412</v>
      </c>
      <c r="H8" s="125">
        <f>+F8</f>
        <v>44604.17441860465</v>
      </c>
    </row>
    <row r="9" spans="1:8" ht="12.75">
      <c r="A9" t="s">
        <v>150</v>
      </c>
      <c r="B9" s="125">
        <v>7015674</v>
      </c>
      <c r="C9" s="125">
        <f>ROUND(B9/2,0)</f>
        <v>3507837</v>
      </c>
      <c r="D9" s="127">
        <f t="shared" si="0"/>
        <v>0.04357380916487734</v>
      </c>
      <c r="E9">
        <v>85</v>
      </c>
      <c r="F9" s="126">
        <f t="shared" si="1"/>
        <v>82537.34117647058</v>
      </c>
      <c r="G9" s="127">
        <f t="shared" si="2"/>
        <v>0.1283438873870712</v>
      </c>
      <c r="H9" s="125">
        <f>+F9/2</f>
        <v>41268.67058823529</v>
      </c>
    </row>
    <row r="10" spans="1:8" ht="12.75">
      <c r="A10" t="s">
        <v>151</v>
      </c>
      <c r="B10" s="125">
        <v>2026851</v>
      </c>
      <c r="C10" s="125">
        <f>ROUND(B10/3,0)</f>
        <v>675617</v>
      </c>
      <c r="D10" s="127">
        <f t="shared" si="0"/>
        <v>0.008392409974165543</v>
      </c>
      <c r="E10">
        <v>90</v>
      </c>
      <c r="F10" s="126">
        <f t="shared" si="1"/>
        <v>22520.566666666666</v>
      </c>
      <c r="G10" s="127">
        <f t="shared" si="2"/>
        <v>0.0350190232803825</v>
      </c>
      <c r="H10" s="125">
        <f>+F10/3</f>
        <v>7506.855555555555</v>
      </c>
    </row>
    <row r="11" spans="1:8" ht="12.75">
      <c r="A11" t="s">
        <v>152</v>
      </c>
      <c r="B11" s="125">
        <v>26190681</v>
      </c>
      <c r="C11" s="125">
        <f>ROUND(B11/4,0)</f>
        <v>6547670</v>
      </c>
      <c r="D11" s="127">
        <f t="shared" si="0"/>
        <v>0.0813341449601542</v>
      </c>
      <c r="E11">
        <v>209</v>
      </c>
      <c r="F11" s="126">
        <f t="shared" si="1"/>
        <v>125314.26315789473</v>
      </c>
      <c r="G11" s="127">
        <f t="shared" si="2"/>
        <v>0.1948611313313739</v>
      </c>
      <c r="H11" s="125">
        <f>+F11/4</f>
        <v>31328.565789473683</v>
      </c>
    </row>
    <row r="12" spans="1:8" ht="12.75">
      <c r="A12" t="s">
        <v>153</v>
      </c>
      <c r="B12" s="125">
        <v>2040433</v>
      </c>
      <c r="C12" s="125">
        <f>ROUND(B12/8,0)</f>
        <v>255054</v>
      </c>
      <c r="D12" s="127">
        <f t="shared" si="0"/>
        <v>0.0031682413757362802</v>
      </c>
      <c r="E12">
        <v>184</v>
      </c>
      <c r="F12" s="126">
        <f t="shared" si="1"/>
        <v>11089.309782608696</v>
      </c>
      <c r="G12" s="127">
        <f t="shared" si="2"/>
        <v>0.01724365124503442</v>
      </c>
      <c r="H12" s="125">
        <f>+F12/8</f>
        <v>1386.163722826087</v>
      </c>
    </row>
    <row r="13" spans="1:8" ht="12.75">
      <c r="A13" t="s">
        <v>154</v>
      </c>
      <c r="B13" s="125">
        <v>61037</v>
      </c>
      <c r="C13" s="125">
        <f>+B13</f>
        <v>61037</v>
      </c>
      <c r="D13" s="127">
        <f t="shared" si="0"/>
        <v>0.0007581921822469569</v>
      </c>
      <c r="E13">
        <v>23</v>
      </c>
      <c r="F13" s="126">
        <f t="shared" si="1"/>
        <v>2653.782608695652</v>
      </c>
      <c r="G13" s="127">
        <f t="shared" si="2"/>
        <v>0.004126578000034956</v>
      </c>
      <c r="H13" s="125">
        <f>+F13</f>
        <v>2653.782608695652</v>
      </c>
    </row>
    <row r="15" spans="3:9" ht="12.75">
      <c r="C15" s="126">
        <f>SUM(C6:C13)</f>
        <v>80503336</v>
      </c>
      <c r="D15" s="127">
        <f>SUM(D6:D13)</f>
        <v>1</v>
      </c>
      <c r="F15" s="126">
        <f>SUM(F6:F13)</f>
        <v>643095.2253109409</v>
      </c>
      <c r="G15" s="127">
        <f>SUM(G6:G13)</f>
        <v>1.0000000000000002</v>
      </c>
      <c r="I15" s="125">
        <v>2871048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DeSantis</dc:creator>
  <cp:keywords/>
  <dc:description/>
  <cp:lastModifiedBy>cackman</cp:lastModifiedBy>
  <cp:lastPrinted>2006-01-20T15:03:32Z</cp:lastPrinted>
  <dcterms:created xsi:type="dcterms:W3CDTF">1998-10-19T18:47:17Z</dcterms:created>
  <dcterms:modified xsi:type="dcterms:W3CDTF">2014-12-08T13:40:10Z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>http://www.portal.state.pa.us/portal/http;//www.portal.state.pa.us;80/portal/server.pt/gateway/PTARGS_0_94575_1463397_0_0_18/_AREA%206.xls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display_urn:schemas-microsoft-com:office:office#Auth">
    <vt:lpwstr>System Account</vt:lpwstr>
  </property>
  <property fmtid="{D5CDD505-2E9C-101B-9397-08002B2CF9AE}" pid="6" name="xd_Signatu">
    <vt:lpwstr/>
  </property>
  <property fmtid="{D5CDD505-2E9C-101B-9397-08002B2CF9AE}" pid="7" name="Ord">
    <vt:lpwstr>30900.0000000000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_SourceU">
    <vt:lpwstr/>
  </property>
  <property fmtid="{D5CDD505-2E9C-101B-9397-08002B2CF9AE}" pid="13" name="_SharedFileInd">
    <vt:lpwstr/>
  </property>
</Properties>
</file>